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showInkAnnotation="0" codeName="ThisWorkbook" defaultThemeVersion="124226"/>
  <mc:AlternateContent xmlns:mc="http://schemas.openxmlformats.org/markup-compatibility/2006">
    <mc:Choice Requires="x15">
      <x15ac:absPath xmlns:x15ac="http://schemas.microsoft.com/office/spreadsheetml/2010/11/ac" url="\\Stsv01\行政データ\06_総務課\04_企画財政班\①入札\R5\⑦R6-R7定期申請\①要領・申請書\03_物品\"/>
    </mc:Choice>
  </mc:AlternateContent>
  <xr:revisionPtr revIDLastSave="0" documentId="8_{D13EA694-D6E5-43A8-8774-CECC97068647}" xr6:coauthVersionLast="45" xr6:coauthVersionMax="45" xr10:uidLastSave="{00000000-0000-0000-0000-000000000000}"/>
  <bookViews>
    <workbookView xWindow="-120" yWindow="-120" windowWidth="29040" windowHeight="15840" tabRatio="709" xr2:uid="{00000000-000D-0000-FFFF-FFFF00000000}"/>
  </bookViews>
  <sheets>
    <sheet name="第１号様式" sheetId="25" r:id="rId1"/>
    <sheet name="別紙１" sheetId="2" r:id="rId2"/>
    <sheet name="別紙２" sheetId="6" r:id="rId3"/>
    <sheet name="別紙３" sheetId="5" r:id="rId4"/>
    <sheet name="別紙4-1（物品）" sheetId="30" r:id="rId5"/>
    <sheet name="別紙4-2（役務）" sheetId="33" r:id="rId6"/>
    <sheet name="別紙4-3（賃貸借）" sheetId="34" r:id="rId7"/>
    <sheet name="別紙５" sheetId="31" r:id="rId8"/>
    <sheet name="別紙６" sheetId="12" r:id="rId9"/>
  </sheets>
  <externalReferences>
    <externalReference r:id="rId10"/>
    <externalReference r:id="rId11"/>
  </externalReferences>
  <definedNames>
    <definedName name="_xlnm._FilterDatabase" localSheetId="0" hidden="1">第１号様式!$B$33:$AC$51</definedName>
    <definedName name="_xlnm._FilterDatabase" localSheetId="4" hidden="1">'別紙4-1（物品）'!$T$1:$T$184</definedName>
    <definedName name="_xlnm._FilterDatabase" localSheetId="5" hidden="1">'別紙4-2（役務）'!$T$1:$T$38</definedName>
    <definedName name="_xlnm._FilterDatabase" localSheetId="6" hidden="1">'別紙4-3（賃貸借）'!$T$1:$T$7</definedName>
    <definedName name="_xlnm.Print_Area" localSheetId="0">第１号様式!$A$1:$AC$51</definedName>
    <definedName name="_xlnm.Print_Area" localSheetId="1">別紙１!$A$1:$AD$43</definedName>
    <definedName name="_xlnm.Print_Area" localSheetId="2">別紙２!$A$1:$Z$49</definedName>
    <definedName name="_xlnm.Print_Area" localSheetId="3">別紙３!$A$1:$AE$40</definedName>
    <definedName name="_xlnm.Print_Area" localSheetId="4">'別紙4-1（物品）'!$A$1:$Q$183</definedName>
    <definedName name="_xlnm.Print_Area" localSheetId="5">'別紙4-2（役務）'!$A$1:$Q$37</definedName>
    <definedName name="_xlnm.Print_Area" localSheetId="6">'別紙4-3（賃貸借）'!$A$1:$Q$7</definedName>
    <definedName name="_xlnm.Print_Area" localSheetId="7">別紙５!$A$1:$AF$16</definedName>
    <definedName name="_xlnm.Print_Area" localSheetId="8">別紙６!$A$1:$AM$54</definedName>
    <definedName name="_xlnm.Print_Titles" localSheetId="4">'別紙4-1（物品）'!$1:$2</definedName>
    <definedName name="_xlnm.Print_Titles" localSheetId="5">'別紙4-2（役務）'!$1:$2</definedName>
    <definedName name="_xlnm.Print_Titles" localSheetId="6">'別紙4-3（賃貸借）'!$1:$2</definedName>
    <definedName name="市町村コード取得" localSheetId="0">別紙１!#REF!</definedName>
    <definedName name="市町村コード取得" localSheetId="4">'[1]第１号様式　別紙１'!#REF!</definedName>
    <definedName name="市町村コード取得" localSheetId="5">'[1]第１号様式　別紙１'!#REF!</definedName>
    <definedName name="市町村コード取得" localSheetId="6">'[1]第１号様式　別紙１'!#REF!</definedName>
    <definedName name="市町村コード取得" localSheetId="7">'[2]第１号様式　別紙１'!#REF!</definedName>
    <definedName name="市町村コード取得" localSheetId="8">#REF!</definedName>
    <definedName name="市町村コード取得">別紙１!#REF!</definedName>
    <definedName name="代理人" localSheetId="7">#REF!</definedName>
    <definedName name="代理人">別紙３!$AK$4:$AK$5</definedName>
    <definedName name="代理人の有無" localSheetId="7">#REF!</definedName>
    <definedName name="代理人の有無">別紙３!$AK$3:$AK$5</definedName>
    <definedName name="代理人を置かない" localSheetId="7">#REF!</definedName>
    <definedName name="代理人を置かない">別紙３!$AM$4:$AM$5</definedName>
    <definedName name="代理人を置く" localSheetId="7">#REF!</definedName>
    <definedName name="代理人を置く">別紙３!$AL$4</definedName>
    <definedName name="置かない" localSheetId="7">#REF!</definedName>
    <definedName name="置かない">別紙３!$AL$21:$AL$23</definedName>
    <definedName name="置く" localSheetId="7">#REF!</definedName>
    <definedName name="置く">別紙３!$AK$21:$AK$22</definedName>
    <definedName name="中分類コード" localSheetId="0">第１号様式!$AH$34:$AH$67</definedName>
    <definedName name="中分類コード" localSheetId="4">#REF!</definedName>
    <definedName name="中分類コード" localSheetId="5">#REF!</definedName>
    <definedName name="中分類コード" localSheetId="6">#REF!</definedName>
    <definedName name="中分類コード" localSheetId="7">#REF!</definedName>
    <definedName name="中分類コード" localSheetId="8">#REF!</definedName>
    <definedName name="中分類コード">#REF!</definedName>
    <definedName name="中分類コード表" localSheetId="0">第１号様式!$AH$34:$AI$68</definedName>
    <definedName name="中分類コード表" localSheetId="4">#REF!</definedName>
    <definedName name="中分類コード表" localSheetId="5">#REF!</definedName>
    <definedName name="中分類コード表" localSheetId="6">#REF!</definedName>
    <definedName name="中分類コード表" localSheetId="7">#REF!</definedName>
    <definedName name="中分類コード表" localSheetId="8">#REF!</definedName>
    <definedName name="中分類コード表">#REF!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7" i="25" l="1"/>
  <c r="U46" i="25"/>
  <c r="U45" i="25"/>
  <c r="M47" i="25"/>
  <c r="M46" i="25"/>
  <c r="M45" i="25"/>
  <c r="K47" i="25"/>
  <c r="K46" i="25"/>
  <c r="K45" i="25"/>
  <c r="M41" i="25"/>
  <c r="M38" i="25"/>
  <c r="M39" i="25"/>
  <c r="M40" i="25"/>
  <c r="M37" i="25"/>
  <c r="V40" i="25"/>
  <c r="V38" i="25"/>
  <c r="V39" i="25"/>
  <c r="V37" i="25"/>
  <c r="T6" i="34"/>
  <c r="R6" i="34"/>
  <c r="U4" i="34"/>
  <c r="T4" i="34"/>
  <c r="V3" i="34"/>
  <c r="U3" i="34"/>
  <c r="T3" i="34"/>
  <c r="T37" i="33"/>
  <c r="R37" i="33"/>
  <c r="U34" i="33"/>
  <c r="T34" i="33"/>
  <c r="T33" i="33"/>
  <c r="R33" i="33"/>
  <c r="U32" i="33"/>
  <c r="T32" i="33"/>
  <c r="V31" i="33"/>
  <c r="U31" i="33"/>
  <c r="T31" i="33"/>
  <c r="V30" i="33"/>
  <c r="U30" i="33"/>
  <c r="T30" i="33"/>
  <c r="T29" i="33"/>
  <c r="R29" i="33"/>
  <c r="V28" i="33"/>
  <c r="U28" i="33"/>
  <c r="T28" i="33"/>
  <c r="V27" i="33"/>
  <c r="U27" i="33"/>
  <c r="T27" i="33"/>
  <c r="T26" i="33"/>
  <c r="R26" i="33"/>
  <c r="U24" i="33"/>
  <c r="T24" i="33"/>
  <c r="T23" i="33"/>
  <c r="R23" i="33"/>
  <c r="V21" i="33"/>
  <c r="U21" i="33"/>
  <c r="T21" i="33"/>
  <c r="T20" i="33"/>
  <c r="R20" i="33"/>
  <c r="V19" i="33"/>
  <c r="U19" i="33"/>
  <c r="T19" i="33"/>
  <c r="V18" i="33"/>
  <c r="U18" i="33"/>
  <c r="T18" i="33"/>
  <c r="T17" i="33"/>
  <c r="R17" i="33"/>
  <c r="U16" i="33"/>
  <c r="V15" i="33"/>
  <c r="U15" i="33"/>
  <c r="T15" i="33"/>
  <c r="T14" i="33"/>
  <c r="R14" i="33"/>
  <c r="V12" i="33"/>
  <c r="U12" i="33"/>
  <c r="T12" i="33"/>
  <c r="V11" i="33"/>
  <c r="U11" i="33"/>
  <c r="T11" i="33"/>
  <c r="T10" i="33"/>
  <c r="R10" i="33"/>
  <c r="T9" i="33"/>
  <c r="V8" i="33"/>
  <c r="U8" i="33"/>
  <c r="T8" i="33"/>
  <c r="V7" i="33"/>
  <c r="U7" i="33"/>
  <c r="T7" i="33"/>
  <c r="T6" i="33"/>
  <c r="R6" i="33"/>
  <c r="U4" i="33"/>
  <c r="T4" i="33"/>
  <c r="V3" i="33"/>
  <c r="U3" i="33"/>
  <c r="T3" i="33"/>
  <c r="AB46" i="6" l="1"/>
  <c r="AB45" i="6"/>
  <c r="AB44" i="6"/>
  <c r="AB43" i="6"/>
  <c r="R16" i="2" l="1"/>
  <c r="R15" i="2"/>
  <c r="R14" i="2"/>
  <c r="R13" i="2"/>
  <c r="R12" i="2"/>
  <c r="R11" i="2"/>
  <c r="R10" i="2"/>
  <c r="R9" i="2"/>
  <c r="R8" i="2"/>
  <c r="R7" i="2"/>
  <c r="Q1" i="31" l="1"/>
  <c r="L15" i="31" l="1"/>
  <c r="H15" i="31"/>
  <c r="L13" i="31"/>
  <c r="H13" i="31"/>
  <c r="L11" i="31"/>
  <c r="H11" i="31"/>
  <c r="L8" i="31"/>
  <c r="H8" i="31"/>
  <c r="L5" i="31"/>
  <c r="H5" i="31"/>
  <c r="AD5" i="6" l="1"/>
  <c r="AB5" i="6"/>
  <c r="R183" i="30" l="1"/>
  <c r="R179" i="30"/>
  <c r="R175" i="30"/>
  <c r="R171" i="30"/>
  <c r="R167" i="30"/>
  <c r="R163" i="30"/>
  <c r="R159" i="30"/>
  <c r="R155" i="30"/>
  <c r="R151" i="30"/>
  <c r="R147" i="30"/>
  <c r="R143" i="30"/>
  <c r="R139" i="30"/>
  <c r="R135" i="30"/>
  <c r="R131" i="30"/>
  <c r="R127" i="30"/>
  <c r="R123" i="30"/>
  <c r="R119" i="30"/>
  <c r="R115" i="30"/>
  <c r="R111" i="30"/>
  <c r="R107" i="30"/>
  <c r="R103" i="30"/>
  <c r="R99" i="30"/>
  <c r="R95" i="30"/>
  <c r="R91" i="30"/>
  <c r="R87" i="30"/>
  <c r="R11" i="30"/>
  <c r="AO3" i="12" l="1"/>
  <c r="AO5" i="12" s="1"/>
  <c r="T183" i="30"/>
  <c r="U180" i="30"/>
  <c r="T180" i="30"/>
  <c r="T179" i="30"/>
  <c r="V176" i="30"/>
  <c r="U176" i="30"/>
  <c r="T176" i="30"/>
  <c r="T175" i="30"/>
  <c r="U173" i="30"/>
  <c r="T173" i="30"/>
  <c r="V172" i="30"/>
  <c r="U172" i="30"/>
  <c r="T172" i="30"/>
  <c r="T171" i="30"/>
  <c r="V170" i="30"/>
  <c r="U170" i="30"/>
  <c r="T170" i="30"/>
  <c r="V169" i="30"/>
  <c r="U169" i="30"/>
  <c r="T169" i="30"/>
  <c r="V168" i="30"/>
  <c r="U168" i="30"/>
  <c r="T168" i="30"/>
  <c r="T167" i="30"/>
  <c r="V166" i="30"/>
  <c r="U166" i="30"/>
  <c r="T166" i="30"/>
  <c r="V165" i="30"/>
  <c r="U165" i="30"/>
  <c r="T165" i="30"/>
  <c r="V164" i="30"/>
  <c r="U164" i="30"/>
  <c r="T164" i="30"/>
  <c r="T163" i="30"/>
  <c r="V162" i="30"/>
  <c r="U162" i="30"/>
  <c r="T162" i="30"/>
  <c r="V161" i="30"/>
  <c r="U161" i="30"/>
  <c r="T161" i="30"/>
  <c r="V160" i="30"/>
  <c r="U160" i="30"/>
  <c r="T160" i="30"/>
  <c r="T159" i="30"/>
  <c r="V158" i="30"/>
  <c r="U158" i="30"/>
  <c r="T158" i="30"/>
  <c r="V157" i="30"/>
  <c r="U157" i="30"/>
  <c r="T157" i="30"/>
  <c r="V156" i="30"/>
  <c r="U156" i="30"/>
  <c r="T156" i="30"/>
  <c r="T155" i="30"/>
  <c r="V153" i="30"/>
  <c r="U153" i="30"/>
  <c r="T153" i="30"/>
  <c r="V152" i="30"/>
  <c r="U152" i="30"/>
  <c r="T152" i="30"/>
  <c r="T151" i="30"/>
  <c r="T149" i="30"/>
  <c r="V148" i="30"/>
  <c r="U148" i="30"/>
  <c r="T148" i="30"/>
  <c r="T147" i="30"/>
  <c r="T146" i="30"/>
  <c r="V145" i="30"/>
  <c r="U145" i="30"/>
  <c r="T145" i="30"/>
  <c r="V144" i="30"/>
  <c r="U144" i="30"/>
  <c r="T144" i="30"/>
  <c r="T143" i="30"/>
  <c r="U140" i="30"/>
  <c r="T140" i="30"/>
  <c r="T139" i="30"/>
  <c r="V137" i="30"/>
  <c r="U137" i="30"/>
  <c r="T137" i="30"/>
  <c r="V136" i="30"/>
  <c r="U136" i="30"/>
  <c r="T136" i="30"/>
  <c r="T135" i="30"/>
  <c r="V133" i="30"/>
  <c r="U133" i="30"/>
  <c r="T133" i="30"/>
  <c r="V132" i="30"/>
  <c r="U132" i="30"/>
  <c r="T132" i="30"/>
  <c r="T131" i="30"/>
  <c r="U128" i="30"/>
  <c r="T128" i="30"/>
  <c r="T127" i="30"/>
  <c r="U125" i="30"/>
  <c r="T125" i="30"/>
  <c r="V124" i="30"/>
  <c r="U124" i="30"/>
  <c r="T124" i="30"/>
  <c r="T123" i="30"/>
  <c r="V122" i="30"/>
  <c r="U122" i="30"/>
  <c r="T122" i="30"/>
  <c r="V121" i="30"/>
  <c r="U121" i="30"/>
  <c r="T121" i="30"/>
  <c r="V120" i="30"/>
  <c r="U120" i="30"/>
  <c r="T120" i="30"/>
  <c r="T119" i="30"/>
  <c r="U117" i="30"/>
  <c r="T117" i="30"/>
  <c r="V116" i="30"/>
  <c r="U116" i="30"/>
  <c r="T116" i="30"/>
  <c r="T115" i="30"/>
  <c r="U114" i="30"/>
  <c r="T114" i="30"/>
  <c r="V113" i="30"/>
  <c r="U113" i="30"/>
  <c r="T113" i="30"/>
  <c r="V112" i="30"/>
  <c r="U112" i="30"/>
  <c r="T112" i="30"/>
  <c r="T111" i="30"/>
  <c r="T110" i="30"/>
  <c r="V109" i="30"/>
  <c r="U109" i="30"/>
  <c r="T109" i="30"/>
  <c r="V108" i="30"/>
  <c r="U108" i="30"/>
  <c r="T108" i="30"/>
  <c r="T107" i="30"/>
  <c r="V106" i="30"/>
  <c r="U106" i="30"/>
  <c r="T106" i="30"/>
  <c r="V105" i="30"/>
  <c r="U105" i="30"/>
  <c r="T105" i="30"/>
  <c r="V104" i="30"/>
  <c r="U104" i="30"/>
  <c r="T104" i="30"/>
  <c r="T103" i="30"/>
  <c r="U102" i="30"/>
  <c r="T102" i="30"/>
  <c r="V101" i="30"/>
  <c r="U101" i="30"/>
  <c r="T101" i="30"/>
  <c r="V100" i="30"/>
  <c r="U100" i="30"/>
  <c r="T100" i="30"/>
  <c r="T99" i="30"/>
  <c r="V98" i="30"/>
  <c r="U98" i="30"/>
  <c r="T98" i="30"/>
  <c r="V97" i="30"/>
  <c r="U97" i="30"/>
  <c r="T97" i="30"/>
  <c r="V96" i="30"/>
  <c r="U96" i="30"/>
  <c r="T96" i="30"/>
  <c r="T95" i="30"/>
  <c r="V94" i="30"/>
  <c r="U94" i="30"/>
  <c r="T94" i="30"/>
  <c r="V93" i="30"/>
  <c r="U93" i="30"/>
  <c r="T93" i="30"/>
  <c r="V92" i="30"/>
  <c r="U92" i="30"/>
  <c r="T92" i="30"/>
  <c r="T91" i="30"/>
  <c r="V89" i="30"/>
  <c r="U89" i="30"/>
  <c r="T89" i="30"/>
  <c r="V88" i="30"/>
  <c r="U88" i="30"/>
  <c r="T88" i="30"/>
  <c r="T87" i="30"/>
  <c r="V85" i="30"/>
  <c r="U85" i="30"/>
  <c r="T85" i="30"/>
  <c r="V84" i="30"/>
  <c r="U84" i="30"/>
  <c r="T84" i="30"/>
  <c r="T83" i="30"/>
  <c r="R83" i="30"/>
  <c r="V82" i="30"/>
  <c r="U82" i="30"/>
  <c r="T82" i="30"/>
  <c r="V81" i="30"/>
  <c r="U81" i="30"/>
  <c r="T81" i="30"/>
  <c r="V80" i="30"/>
  <c r="U80" i="30"/>
  <c r="T80" i="30"/>
  <c r="T79" i="30"/>
  <c r="R79" i="30"/>
  <c r="V78" i="30"/>
  <c r="U78" i="30"/>
  <c r="T78" i="30"/>
  <c r="V77" i="30"/>
  <c r="U77" i="30"/>
  <c r="T77" i="30"/>
  <c r="V76" i="30"/>
  <c r="U76" i="30"/>
  <c r="T76" i="30"/>
  <c r="T75" i="30"/>
  <c r="R75" i="30"/>
  <c r="V73" i="30"/>
  <c r="U73" i="30"/>
  <c r="T73" i="30"/>
  <c r="V72" i="30"/>
  <c r="U72" i="30"/>
  <c r="T72" i="30"/>
  <c r="T71" i="30"/>
  <c r="R71" i="30"/>
  <c r="V70" i="30"/>
  <c r="U70" i="30"/>
  <c r="T70" i="30"/>
  <c r="V69" i="30"/>
  <c r="U69" i="30"/>
  <c r="T69" i="30"/>
  <c r="V68" i="30"/>
  <c r="U68" i="30"/>
  <c r="T68" i="30"/>
  <c r="T67" i="30"/>
  <c r="R67" i="30"/>
  <c r="U66" i="30"/>
  <c r="T66" i="30"/>
  <c r="V65" i="30"/>
  <c r="U65" i="30"/>
  <c r="T65" i="30"/>
  <c r="V64" i="30"/>
  <c r="U64" i="30"/>
  <c r="T64" i="30"/>
  <c r="T63" i="30"/>
  <c r="R63" i="30"/>
  <c r="V62" i="30"/>
  <c r="U62" i="30"/>
  <c r="T62" i="30"/>
  <c r="V61" i="30"/>
  <c r="U61" i="30"/>
  <c r="T61" i="30"/>
  <c r="V60" i="30"/>
  <c r="U60" i="30"/>
  <c r="T60" i="30"/>
  <c r="T59" i="30"/>
  <c r="R59" i="30"/>
  <c r="V57" i="30"/>
  <c r="U57" i="30"/>
  <c r="T57" i="30"/>
  <c r="V56" i="30"/>
  <c r="U56" i="30"/>
  <c r="T56" i="30"/>
  <c r="T55" i="30"/>
  <c r="R55" i="30"/>
  <c r="U53" i="30"/>
  <c r="T53" i="30"/>
  <c r="V52" i="30"/>
  <c r="U52" i="30"/>
  <c r="T52" i="30"/>
  <c r="T51" i="30"/>
  <c r="R51" i="30"/>
  <c r="V50" i="30"/>
  <c r="U50" i="30"/>
  <c r="T50" i="30"/>
  <c r="V49" i="30"/>
  <c r="U49" i="30"/>
  <c r="T49" i="30"/>
  <c r="V48" i="30"/>
  <c r="U48" i="30"/>
  <c r="T48" i="30"/>
  <c r="T47" i="30"/>
  <c r="R47" i="30"/>
  <c r="V46" i="30"/>
  <c r="U46" i="30"/>
  <c r="T46" i="30"/>
  <c r="V45" i="30"/>
  <c r="U45" i="30"/>
  <c r="T45" i="30"/>
  <c r="V44" i="30"/>
  <c r="U44" i="30"/>
  <c r="T44" i="30"/>
  <c r="T43" i="30"/>
  <c r="R43" i="30"/>
  <c r="U42" i="30"/>
  <c r="T42" i="30"/>
  <c r="V41" i="30"/>
  <c r="U41" i="30"/>
  <c r="T41" i="30"/>
  <c r="V40" i="30"/>
  <c r="U40" i="30"/>
  <c r="T40" i="30"/>
  <c r="T39" i="30"/>
  <c r="R39" i="30"/>
  <c r="V38" i="30"/>
  <c r="U38" i="30"/>
  <c r="T38" i="30"/>
  <c r="V37" i="30"/>
  <c r="U37" i="30"/>
  <c r="T37" i="30"/>
  <c r="V36" i="30"/>
  <c r="U36" i="30"/>
  <c r="T36" i="30"/>
  <c r="T35" i="30"/>
  <c r="R35" i="30"/>
  <c r="U32" i="30"/>
  <c r="T32" i="30"/>
  <c r="T31" i="30"/>
  <c r="R31" i="30"/>
  <c r="U28" i="30"/>
  <c r="T28" i="30"/>
  <c r="T27" i="30"/>
  <c r="R27" i="30"/>
  <c r="U25" i="30"/>
  <c r="T25" i="30"/>
  <c r="V24" i="30"/>
  <c r="U24" i="30"/>
  <c r="T24" i="30"/>
  <c r="T23" i="30"/>
  <c r="R23" i="30"/>
  <c r="V22" i="30"/>
  <c r="U22" i="30"/>
  <c r="T22" i="30"/>
  <c r="V21" i="30"/>
  <c r="U21" i="30"/>
  <c r="T21" i="30"/>
  <c r="V20" i="30"/>
  <c r="U20" i="30"/>
  <c r="T20" i="30"/>
  <c r="T19" i="30"/>
  <c r="R19" i="30"/>
  <c r="U18" i="30"/>
  <c r="U17" i="30"/>
  <c r="T17" i="30"/>
  <c r="V16" i="30"/>
  <c r="U16" i="30"/>
  <c r="T16" i="30"/>
  <c r="T15" i="30"/>
  <c r="R15" i="30"/>
  <c r="V14" i="30"/>
  <c r="U14" i="30"/>
  <c r="T14" i="30"/>
  <c r="V13" i="30"/>
  <c r="U13" i="30"/>
  <c r="T13" i="30"/>
  <c r="V12" i="30"/>
  <c r="U12" i="30"/>
  <c r="T12" i="30"/>
  <c r="T11" i="30"/>
  <c r="T10" i="30"/>
  <c r="V9" i="30"/>
  <c r="U9" i="30"/>
  <c r="T9" i="30"/>
  <c r="V8" i="30"/>
  <c r="U8" i="30"/>
  <c r="T8" i="30"/>
  <c r="V7" i="30"/>
  <c r="U7" i="30"/>
  <c r="T7" i="30"/>
  <c r="T6" i="30"/>
  <c r="R6" i="30"/>
  <c r="U4" i="30"/>
  <c r="T4" i="30"/>
  <c r="V3" i="30"/>
  <c r="U3" i="30"/>
  <c r="T3" i="30"/>
  <c r="AG22" i="5"/>
  <c r="AG4" i="5"/>
  <c r="AB23" i="6"/>
  <c r="AB22" i="6"/>
  <c r="AB21" i="6"/>
  <c r="AB20" i="6"/>
  <c r="AB19" i="6"/>
  <c r="AB18" i="6"/>
  <c r="AB17" i="6"/>
  <c r="AB16" i="6"/>
  <c r="AF37" i="2"/>
  <c r="AF36" i="2"/>
  <c r="AF35" i="2"/>
  <c r="AF34" i="2"/>
  <c r="AF33" i="2"/>
  <c r="AF32" i="2"/>
  <c r="AF31" i="2"/>
  <c r="AF30" i="2"/>
  <c r="AF29" i="2"/>
  <c r="AF28" i="2"/>
  <c r="AF27" i="2"/>
  <c r="AF26" i="2"/>
  <c r="AF25" i="2"/>
  <c r="AF24" i="2"/>
  <c r="AF19" i="2"/>
  <c r="AE27" i="25"/>
  <c r="AF41" i="2" l="1"/>
  <c r="Z25" i="25"/>
  <c r="Y1" i="12"/>
  <c r="R1" i="5"/>
  <c r="L1" i="6"/>
  <c r="Q1" i="2"/>
  <c r="AE7" i="25"/>
  <c r="X41" i="25" l="1"/>
  <c r="AD13" i="6" l="1"/>
  <c r="AB13" i="6" s="1"/>
  <c r="AD14" i="6"/>
  <c r="AB14" i="6" s="1"/>
  <c r="AD15" i="6"/>
  <c r="AB15" i="6" s="1"/>
  <c r="AD16" i="6"/>
  <c r="AD17" i="6"/>
  <c r="AD18" i="6"/>
  <c r="AD19" i="6"/>
  <c r="AD20" i="6"/>
  <c r="AD21" i="6"/>
  <c r="AD22" i="6"/>
  <c r="AD23" i="6"/>
  <c r="AD12" i="6"/>
  <c r="AB12" i="6" s="1"/>
  <c r="X37" i="2" l="1"/>
  <c r="Q37" i="2"/>
  <c r="X36" i="2"/>
  <c r="Q36" i="2"/>
  <c r="X35" i="2"/>
  <c r="Q35" i="2"/>
  <c r="X34" i="2"/>
  <c r="Q34" i="2"/>
  <c r="X33" i="2"/>
  <c r="Q33" i="2"/>
  <c r="X32" i="2"/>
  <c r="Q32" i="2"/>
  <c r="X31" i="2"/>
  <c r="Q31" i="2"/>
  <c r="X30" i="2"/>
  <c r="Q30" i="2"/>
  <c r="X29" i="2"/>
  <c r="Q29" i="2"/>
  <c r="X28" i="2"/>
  <c r="Q28" i="2"/>
  <c r="X27" i="2"/>
  <c r="Q27" i="2"/>
  <c r="X26" i="2"/>
  <c r="Q26" i="2"/>
  <c r="X25" i="2"/>
  <c r="Q25" i="2"/>
  <c r="X24" i="2"/>
  <c r="Q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C17" authorId="0" shapeId="0" xr:uid="{00000000-0006-0000-0000-000002000000}">
      <text>
        <r>
          <rPr>
            <sz val="9"/>
            <color indexed="81"/>
            <rFont val="MS P ゴシック"/>
            <family val="3"/>
            <charset val="128"/>
          </rPr>
          <t>セル右側のプルダウンボタンから
「新規」又は「継続」を選択してください。</t>
        </r>
      </text>
    </comment>
    <comment ref="H20" authorId="0" shapeId="0" xr:uid="{00000000-0006-0000-0000-000004000000}">
      <text>
        <r>
          <rPr>
            <sz val="9"/>
            <color indexed="81"/>
            <rFont val="MS P ゴシック"/>
            <family val="3"/>
            <charset val="128"/>
          </rPr>
          <t xml:space="preserve">ひらがなで入力してください。
</t>
        </r>
        <r>
          <rPr>
            <b/>
            <sz val="9"/>
            <color indexed="81"/>
            <rFont val="MS P ゴシック"/>
            <family val="3"/>
            <charset val="128"/>
          </rPr>
          <t>法人種別（株式会社等）のふりがなは不要です。</t>
        </r>
        <r>
          <rPr>
            <sz val="9"/>
            <color indexed="81"/>
            <rFont val="MS P ゴシック"/>
            <family val="3"/>
            <charset val="128"/>
          </rPr>
          <t xml:space="preserve">
【良い例】にいがたしょうじ
【悪い例】かぶしきがいしゃ にいがたしょうじ</t>
        </r>
      </text>
    </comment>
    <comment ref="H21" authorId="0" shapeId="0" xr:uid="{00000000-0006-0000-0000-000005000000}">
      <text>
        <r>
          <rPr>
            <sz val="9"/>
            <color indexed="81"/>
            <rFont val="MS P ゴシック"/>
            <family val="3"/>
            <charset val="128"/>
          </rPr>
          <t xml:space="preserve">すべて全角で入力してください。
</t>
        </r>
        <r>
          <rPr>
            <b/>
            <sz val="9"/>
            <color indexed="81"/>
            <rFont val="MS P ゴシック"/>
            <family val="3"/>
            <charset val="128"/>
          </rPr>
          <t>法人種別は略号を使用してください。［（株）（有）など］</t>
        </r>
        <r>
          <rPr>
            <sz val="9"/>
            <color indexed="81"/>
            <rFont val="MS P ゴシック"/>
            <family val="3"/>
            <charset val="128"/>
          </rPr>
          <t xml:space="preserve">
※カッコも含め全て全角
【良い例】（株）新潟商事
【悪い例】株式会社新潟商事、㈱新潟商事</t>
        </r>
      </text>
    </comment>
    <comment ref="J22" authorId="0" shapeId="0" xr:uid="{00000000-0006-0000-0000-000006000000}">
      <text>
        <r>
          <rPr>
            <sz val="9"/>
            <color indexed="81"/>
            <rFont val="MS P ゴシック"/>
            <family val="3"/>
            <charset val="128"/>
          </rPr>
          <t>個人事業主の場合は、空欄としてください。</t>
        </r>
      </text>
    </comment>
    <comment ref="R22" authorId="0" shapeId="0" xr:uid="{00000000-0006-0000-0000-000007000000}">
      <text>
        <r>
          <rPr>
            <sz val="9"/>
            <color indexed="81"/>
            <rFont val="MS P ゴシック"/>
            <family val="3"/>
            <charset val="128"/>
          </rPr>
          <t>氏と名の間にスペースを入力してください。</t>
        </r>
      </text>
    </comment>
    <comment ref="H23" authorId="0" shapeId="0" xr:uid="{00000000-0006-0000-0000-000008000000}">
      <text>
        <r>
          <rPr>
            <sz val="9"/>
            <color indexed="81"/>
            <rFont val="MS P ゴシック"/>
            <family val="3"/>
            <charset val="128"/>
          </rPr>
          <t>個人事業主の場合は、空欄としてください。</t>
        </r>
      </text>
    </comment>
    <comment ref="F25" authorId="0" shapeId="0" xr:uid="{00000000-0006-0000-0000-000009000000}">
      <text>
        <r>
          <rPr>
            <sz val="9"/>
            <color indexed="81"/>
            <rFont val="MS P ゴシック"/>
            <family val="3"/>
            <charset val="128"/>
          </rPr>
          <t>半角数字で入力してください。
ハイフンで区切ってください。</t>
        </r>
      </text>
    </comment>
    <comment ref="T25" authorId="0" shapeId="0" xr:uid="{00000000-0006-0000-0000-00000A000000}">
      <text>
        <r>
          <rPr>
            <sz val="9"/>
            <color indexed="81"/>
            <rFont val="MS P ゴシック"/>
            <family val="3"/>
            <charset val="128"/>
          </rPr>
          <t>セル右側のプルダウンボタンから、本店が所在する市町村を選択してください。
県外本店の場合は、「県外」を選択してください。</t>
        </r>
      </text>
    </comment>
    <comment ref="F27" authorId="0" shapeId="0" xr:uid="{CEDBEE02-5FA0-4758-8A28-3D4A04B59D02}">
      <text>
        <r>
          <rPr>
            <sz val="9"/>
            <color indexed="81"/>
            <rFont val="MS P ゴシック"/>
            <family val="3"/>
            <charset val="128"/>
          </rPr>
          <t>都道府県名を入力してください。</t>
        </r>
      </text>
    </comment>
    <comment ref="J27" authorId="0" shapeId="0" xr:uid="{00000000-0006-0000-0000-00000C000000}">
      <text>
        <r>
          <rPr>
            <sz val="9"/>
            <color indexed="81"/>
            <rFont val="MS P ゴシック"/>
            <family val="3"/>
            <charset val="128"/>
          </rPr>
          <t xml:space="preserve">市区町村以下の住所を入力してください。
すべて全角で入力してください。
</t>
        </r>
        <r>
          <rPr>
            <b/>
            <sz val="9"/>
            <color indexed="81"/>
            <rFont val="MS P ゴシック"/>
            <family val="3"/>
            <charset val="128"/>
          </rPr>
          <t>番地等はハイフンで区切り、「丁目、番、号」は
使用しないでください。</t>
        </r>
        <r>
          <rPr>
            <sz val="9"/>
            <color indexed="81"/>
            <rFont val="MS P ゴシック"/>
            <family val="3"/>
            <charset val="128"/>
          </rPr>
          <t xml:space="preserve">
【例】３丁目２番１号 → ３－２－１</t>
        </r>
      </text>
    </comment>
    <comment ref="J28" authorId="0" shapeId="0" xr:uid="{00000000-0006-0000-0000-00000D000000}">
      <text>
        <r>
          <rPr>
            <sz val="9"/>
            <color indexed="81"/>
            <rFont val="MS P ゴシック"/>
            <family val="3"/>
            <charset val="128"/>
          </rPr>
          <t>「住所」欄に記載した住所が、
以下と異なる場合は、その理由を記載してください。
法人の場合：登記事項証明書
個人の場合：所得税申告書類</t>
        </r>
      </text>
    </comment>
    <comment ref="F29" authorId="0" shapeId="0" xr:uid="{00000000-0006-0000-0000-00000E000000}">
      <text>
        <r>
          <rPr>
            <sz val="9"/>
            <color indexed="81"/>
            <rFont val="MS P ゴシック"/>
            <family val="3"/>
            <charset val="128"/>
          </rPr>
          <t>市外局番から入力してください。
ハイフンで区切ってください。</t>
        </r>
      </text>
    </comment>
    <comment ref="S29" authorId="0" shapeId="0" xr:uid="{00000000-0006-0000-0000-00000F000000}">
      <text>
        <r>
          <rPr>
            <sz val="9"/>
            <color indexed="81"/>
            <rFont val="MS P ゴシック"/>
            <family val="3"/>
            <charset val="128"/>
          </rPr>
          <t>市外局番から入力してください。
ハイフンで区切ってください。</t>
        </r>
      </text>
    </comment>
    <comment ref="L30" authorId="0" shapeId="0" xr:uid="{05F7CCA2-19FD-4166-A31C-2A77815F227A}">
      <text>
        <r>
          <rPr>
            <sz val="9"/>
            <color indexed="81"/>
            <rFont val="MS P ゴシック"/>
            <family val="3"/>
            <charset val="128"/>
          </rPr>
          <t>すべて全角で入力してください。
部署名と氏名の間にスペースを入力してください。
【例】総務部　新潟太郎</t>
        </r>
      </text>
    </comment>
    <comment ref="L31" authorId="0" shapeId="0" xr:uid="{00000000-0006-0000-0000-000011000000}">
      <text>
        <r>
          <rPr>
            <sz val="9"/>
            <color indexed="81"/>
            <rFont val="MS P ゴシック"/>
            <family val="3"/>
            <charset val="128"/>
          </rPr>
          <t>市外局番から入力してください。
ハイフンで区切ってください。</t>
        </r>
      </text>
    </comment>
    <comment ref="K37" authorId="0" shapeId="0" xr:uid="{F60081EB-E987-4E55-B836-EDBDDEE9F715}">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T37" authorId="0" shapeId="0" xr:uid="{D8A6E793-190C-4A6D-AE30-12FE0D23EFEE}">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K38" authorId="0" shapeId="0" xr:uid="{5151DB28-B5BB-4411-8B59-D7C62DD6E8FE}">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T38" authorId="0" shapeId="0" xr:uid="{93389B92-67EA-49ED-9F29-2729A51BD383}">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K39" authorId="0" shapeId="0" xr:uid="{446885DA-169C-4677-8CC0-0301924287D1}">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T39" authorId="0" shapeId="0" xr:uid="{51324D23-5F83-49CF-80BE-D0DBCFD9974D}">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K40" authorId="0" shapeId="0" xr:uid="{437898EC-CCA0-4943-84A9-FADF2DF3A400}">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T40" authorId="0" shapeId="0" xr:uid="{83BF74C4-948B-4B53-9BBF-DCF2AD9DC6AF}">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K41" authorId="0" shapeId="0" xr:uid="{5B50B9BE-DFBE-4D76-98D3-6B0DB485BA50}">
      <text>
        <r>
          <rPr>
            <sz val="9"/>
            <color indexed="81"/>
            <rFont val="MS P ゴシック"/>
            <family val="3"/>
            <charset val="128"/>
          </rPr>
          <t xml:space="preserve">別紙４「営業種目表」を参考に、セル右側のプルダウンボタンから
大分類コードを選択してください。
種目名は自動的に表示されます。
</t>
        </r>
      </text>
    </comment>
    <comment ref="K45" authorId="0" shapeId="0" xr:uid="{00000000-0006-0000-0000-00001B000000}">
      <text>
        <r>
          <rPr>
            <sz val="9"/>
            <color indexed="81"/>
            <rFont val="MS P ゴシック"/>
            <family val="3"/>
            <charset val="128"/>
          </rPr>
          <t xml:space="preserve">右側「中分類」の「コード番号」を選択すると自動的に表示されますので、入力する必要はありません。
</t>
        </r>
      </text>
    </comment>
    <comment ref="S45" authorId="0" shapeId="0" xr:uid="{00000000-0006-0000-0000-00001C000000}">
      <text>
        <r>
          <rPr>
            <sz val="9"/>
            <color indexed="81"/>
            <rFont val="MS P ゴシック"/>
            <family val="3"/>
            <charset val="128"/>
          </rPr>
          <t>別紙４「営業種目表」を参考に、セル右側のプルダウンボタンから中分類コードを選択してください。
大分類コード番号及び種目名等は自動的に表示されます。</t>
        </r>
      </text>
    </comment>
    <comment ref="K46" authorId="0" shapeId="0" xr:uid="{313332C5-40F8-453F-946C-7C9384B48700}">
      <text>
        <r>
          <rPr>
            <sz val="9"/>
            <color indexed="81"/>
            <rFont val="MS P ゴシック"/>
            <family val="3"/>
            <charset val="128"/>
          </rPr>
          <t xml:space="preserve">右側「中分類」の「コード番号」を選択すると自動的に表示されますので、入力する必要はありません。
</t>
        </r>
      </text>
    </comment>
    <comment ref="S46" authorId="0" shapeId="0" xr:uid="{99C721A0-7E32-4EE9-8365-0974FDB66AB3}">
      <text>
        <r>
          <rPr>
            <sz val="9"/>
            <color indexed="81"/>
            <rFont val="MS P ゴシック"/>
            <family val="3"/>
            <charset val="128"/>
          </rPr>
          <t>別紙４「営業種目表」を参考に、セル右側のプルダウンボタンから中分類コードを選択してください。
大分類コード番号及び種目名等は自動的に表示されます。</t>
        </r>
      </text>
    </comment>
    <comment ref="K47" authorId="0" shapeId="0" xr:uid="{91AA1671-6224-41AF-AC10-54480F5FF819}">
      <text>
        <r>
          <rPr>
            <sz val="9"/>
            <color indexed="81"/>
            <rFont val="MS P ゴシック"/>
            <family val="3"/>
            <charset val="128"/>
          </rPr>
          <t xml:space="preserve">右側「中分類」の「コード番号」を選択すると自動的に表示されますので、入力する必要はありません。
</t>
        </r>
      </text>
    </comment>
    <comment ref="S47" authorId="0" shapeId="0" xr:uid="{C6297D0C-6A5F-488E-BF86-07BFEC877E87}">
      <text>
        <r>
          <rPr>
            <sz val="9"/>
            <color indexed="81"/>
            <rFont val="MS P ゴシック"/>
            <family val="3"/>
            <charset val="128"/>
          </rPr>
          <t>別紙４「営業種目表」を参考に、セル右側のプルダウンボタンから中分類コードを選択してください。
大分類コード番号及び種目名等は自動的に表示されます。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7" authorId="0" shapeId="0" xr:uid="{0B2C90F0-4631-43D2-BEFC-5B04C5549D0E}">
      <text>
        <r>
          <rPr>
            <sz val="9"/>
            <color indexed="81"/>
            <rFont val="MS P ゴシック"/>
            <family val="3"/>
            <charset val="128"/>
          </rPr>
          <t>セル右側のプルダウンボタンから市町村名を選択してください。</t>
        </r>
      </text>
    </comment>
    <comment ref="V7" authorId="0" shapeId="0" xr:uid="{00000000-0006-0000-0100-000002000000}">
      <text>
        <r>
          <rPr>
            <sz val="9"/>
            <color indexed="81"/>
            <rFont val="MS P ゴシック"/>
            <family val="3"/>
            <charset val="128"/>
          </rPr>
          <t>市外局番から入力してください。
ハイフンで区切ってください。</t>
        </r>
      </text>
    </comment>
    <comment ref="M8" authorId="0" shapeId="0" xr:uid="{4EB99A77-AFE4-4CF0-8D3B-7C625DEEE129}">
      <text>
        <r>
          <rPr>
            <sz val="9"/>
            <color indexed="81"/>
            <rFont val="MS P ゴシック"/>
            <family val="3"/>
            <charset val="128"/>
          </rPr>
          <t>セル右側のプルダウンボタンから市町村名を選択してください。</t>
        </r>
      </text>
    </comment>
    <comment ref="V8" authorId="0" shapeId="0" xr:uid="{00000000-0006-0000-0100-000004000000}">
      <text>
        <r>
          <rPr>
            <sz val="9"/>
            <color indexed="81"/>
            <rFont val="MS P ゴシック"/>
            <family val="3"/>
            <charset val="128"/>
          </rPr>
          <t>市外局番から入力してください。
ハイフンで区切ってください。</t>
        </r>
      </text>
    </comment>
    <comment ref="M9" authorId="0" shapeId="0" xr:uid="{D0DB97BE-69DE-4627-8CE5-1944A9349AA1}">
      <text>
        <r>
          <rPr>
            <sz val="9"/>
            <color indexed="81"/>
            <rFont val="MS P ゴシック"/>
            <family val="3"/>
            <charset val="128"/>
          </rPr>
          <t>セル右側のプルダウンボタンから市町村名を選択してください。</t>
        </r>
      </text>
    </comment>
    <comment ref="V9" authorId="0" shapeId="0" xr:uid="{00000000-0006-0000-0100-000006000000}">
      <text>
        <r>
          <rPr>
            <sz val="9"/>
            <color indexed="81"/>
            <rFont val="MS P ゴシック"/>
            <family val="3"/>
            <charset val="128"/>
          </rPr>
          <t>市外局番から入力してください。
ハイフンで区切ってください。</t>
        </r>
      </text>
    </comment>
    <comment ref="M10" authorId="0" shapeId="0" xr:uid="{B2BD1A3D-7B10-4866-B919-8154B670D8EB}">
      <text>
        <r>
          <rPr>
            <sz val="9"/>
            <color indexed="81"/>
            <rFont val="MS P ゴシック"/>
            <family val="3"/>
            <charset val="128"/>
          </rPr>
          <t>セル右側のプルダウンボタンから市町村名を選択してください。</t>
        </r>
      </text>
    </comment>
    <comment ref="V10" authorId="0" shapeId="0" xr:uid="{00000000-0006-0000-0100-000008000000}">
      <text>
        <r>
          <rPr>
            <sz val="9"/>
            <color indexed="81"/>
            <rFont val="MS P ゴシック"/>
            <family val="3"/>
            <charset val="128"/>
          </rPr>
          <t>市外局番から入力してください。
ハイフンで区切ってください。</t>
        </r>
      </text>
    </comment>
    <comment ref="M11" authorId="0" shapeId="0" xr:uid="{BA94A4EC-DEF2-49B3-8943-BD6E54B6A86D}">
      <text>
        <r>
          <rPr>
            <sz val="9"/>
            <color indexed="81"/>
            <rFont val="MS P ゴシック"/>
            <family val="3"/>
            <charset val="128"/>
          </rPr>
          <t>セル右側のプルダウンボタンから市町村名を選択してください。</t>
        </r>
      </text>
    </comment>
    <comment ref="V11" authorId="0" shapeId="0" xr:uid="{00000000-0006-0000-0100-00000A000000}">
      <text>
        <r>
          <rPr>
            <sz val="9"/>
            <color indexed="81"/>
            <rFont val="MS P ゴシック"/>
            <family val="3"/>
            <charset val="128"/>
          </rPr>
          <t>市外局番から入力してください。
ハイフンで区切ってください。</t>
        </r>
      </text>
    </comment>
    <comment ref="M12" authorId="0" shapeId="0" xr:uid="{A1E03914-3222-4BDE-928C-C51AF1D3B354}">
      <text>
        <r>
          <rPr>
            <sz val="9"/>
            <color indexed="81"/>
            <rFont val="MS P ゴシック"/>
            <family val="3"/>
            <charset val="128"/>
          </rPr>
          <t>セル右側のプルダウンボタンから市町村名を選択してください。</t>
        </r>
      </text>
    </comment>
    <comment ref="V12" authorId="0" shapeId="0" xr:uid="{00000000-0006-0000-0100-00000C000000}">
      <text>
        <r>
          <rPr>
            <sz val="9"/>
            <color indexed="81"/>
            <rFont val="MS P ゴシック"/>
            <family val="3"/>
            <charset val="128"/>
          </rPr>
          <t>市外局番から入力してください。
ハイフンで区切ってください。</t>
        </r>
      </text>
    </comment>
    <comment ref="M13" authorId="0" shapeId="0" xr:uid="{4E011CB9-0BDC-47A3-9FFA-D20217B7CA3A}">
      <text>
        <r>
          <rPr>
            <sz val="9"/>
            <color indexed="81"/>
            <rFont val="MS P ゴシック"/>
            <family val="3"/>
            <charset val="128"/>
          </rPr>
          <t>セル右側のプルダウンボタンから市町村名を選択してください。</t>
        </r>
      </text>
    </comment>
    <comment ref="V13" authorId="0" shapeId="0" xr:uid="{00000000-0006-0000-0100-00000E000000}">
      <text>
        <r>
          <rPr>
            <sz val="9"/>
            <color indexed="81"/>
            <rFont val="MS P ゴシック"/>
            <family val="3"/>
            <charset val="128"/>
          </rPr>
          <t>市外局番から入力してください。
ハイフンで区切ってください。</t>
        </r>
      </text>
    </comment>
    <comment ref="M14" authorId="0" shapeId="0" xr:uid="{CD920BA7-FDDE-4562-91A1-252739CA670A}">
      <text>
        <r>
          <rPr>
            <sz val="9"/>
            <color indexed="81"/>
            <rFont val="MS P ゴシック"/>
            <family val="3"/>
            <charset val="128"/>
          </rPr>
          <t>セル右側のプルダウンボタンから市町村名を選択してください。</t>
        </r>
      </text>
    </comment>
    <comment ref="V14" authorId="0" shapeId="0" xr:uid="{00000000-0006-0000-0100-000010000000}">
      <text>
        <r>
          <rPr>
            <sz val="9"/>
            <color indexed="81"/>
            <rFont val="MS P ゴシック"/>
            <family val="3"/>
            <charset val="128"/>
          </rPr>
          <t>市外局番から入力してください。
ハイフンで区切ってください。</t>
        </r>
      </text>
    </comment>
    <comment ref="M15" authorId="0" shapeId="0" xr:uid="{157F91C4-63A1-478C-9849-290B419798C3}">
      <text>
        <r>
          <rPr>
            <sz val="9"/>
            <color indexed="81"/>
            <rFont val="MS P ゴシック"/>
            <family val="3"/>
            <charset val="128"/>
          </rPr>
          <t>セル右側のプルダウンボタンから市町村名を選択してください。</t>
        </r>
      </text>
    </comment>
    <comment ref="V15" authorId="0" shapeId="0" xr:uid="{00000000-0006-0000-0100-000012000000}">
      <text>
        <r>
          <rPr>
            <sz val="9"/>
            <color indexed="81"/>
            <rFont val="MS P ゴシック"/>
            <family val="3"/>
            <charset val="128"/>
          </rPr>
          <t>市外局番から入力してください。
ハイフンで区切ってください。</t>
        </r>
      </text>
    </comment>
    <comment ref="M16" authorId="0" shapeId="0" xr:uid="{0A4388CD-5480-48B0-B2B6-783D6458D438}">
      <text>
        <r>
          <rPr>
            <sz val="9"/>
            <color indexed="81"/>
            <rFont val="MS P ゴシック"/>
            <family val="3"/>
            <charset val="128"/>
          </rPr>
          <t>セル右側のプルダウンボタンから市町村名を選択してください。</t>
        </r>
      </text>
    </comment>
    <comment ref="V16" authorId="0" shapeId="0" xr:uid="{00000000-0006-0000-0100-000014000000}">
      <text>
        <r>
          <rPr>
            <sz val="9"/>
            <color indexed="81"/>
            <rFont val="MS P ゴシック"/>
            <family val="3"/>
            <charset val="128"/>
          </rPr>
          <t>市外局番から入力してください。
ハイフンで区切ってください。</t>
        </r>
      </text>
    </comment>
    <comment ref="P19" authorId="0" shapeId="0" xr:uid="{5CBC1815-9C6C-4FE2-ABF1-9B6C8C8D9C57}">
      <text>
        <r>
          <rPr>
            <sz val="9"/>
            <color indexed="81"/>
            <rFont val="MS P ゴシック"/>
            <family val="3"/>
            <charset val="128"/>
          </rPr>
          <t xml:space="preserve">セル右側のプルダウンボタンから販売区域を選択してください。
下の（１）または（２）が自動的に○で囲まれます。
</t>
        </r>
        <r>
          <rPr>
            <b/>
            <sz val="9"/>
            <color indexed="81"/>
            <rFont val="MS P ゴシック"/>
            <family val="3"/>
            <charset val="128"/>
          </rPr>
          <t>（２）を選択した場合は、圏域の希望の有無を「○」か「×」を
必ず選択してください。</t>
        </r>
      </text>
    </comment>
    <comment ref="O24" authorId="0" shapeId="0" xr:uid="{3D23BB4D-5BD6-4718-8C81-3B985A7D173E}">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25" authorId="0" shapeId="0" xr:uid="{B2CAE035-486C-41E6-8C60-C6A4BB498B6A}">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26" authorId="0" shapeId="0" xr:uid="{A3F24885-1B2C-4C33-B7BF-11444D02ACBE}">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27" authorId="0" shapeId="0" xr:uid="{C13E66F4-945C-4E43-906B-E17FCE71DEEC}">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28" authorId="0" shapeId="0" xr:uid="{C4A0E0F2-6365-44D3-8358-071C15DBFABF}">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29" authorId="0" shapeId="0" xr:uid="{AA7D0370-6A69-41F0-80B3-4907D2A22F22}">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0" authorId="0" shapeId="0" xr:uid="{F0DDC041-06B8-4281-8126-348F1C0CDB55}">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1" authorId="0" shapeId="0" xr:uid="{67AA195A-63A8-42DF-9F8F-B1BA652A5F5E}">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2" authorId="0" shapeId="0" xr:uid="{C81B6BF0-EF1B-4273-8C03-BA3946848FC6}">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3" authorId="0" shapeId="0" xr:uid="{8B85170C-E16D-4B6D-AED3-0484D27CB134}">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4" authorId="0" shapeId="0" xr:uid="{0F76D552-62B5-42EF-896E-7B98C5828BD6}">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5" authorId="0" shapeId="0" xr:uid="{DFCD3C28-7777-4BF5-927D-1CD853C8374E}">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6" authorId="0" shapeId="0" xr:uid="{36C5B9C1-4E10-4876-920A-5765A7091E02}">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O37" authorId="0" shapeId="0" xr:uid="{27433400-0783-4AF1-8A7C-2BFF13EE0E0A}">
      <text>
        <r>
          <rPr>
            <sz val="9"/>
            <color indexed="81"/>
            <rFont val="MS P ゴシック"/>
            <family val="3"/>
            <charset val="128"/>
          </rPr>
          <t>セル右側のプルダウンボタンから、この圏域を希望する場合は「○」、しない場合は「×」を選択してください。
「希望の有無の記載欄」に自動的に○が付きます。</t>
        </r>
      </text>
    </comment>
    <comment ref="Q41" authorId="0" shapeId="0" xr:uid="{00000000-0006-0000-0100-000024000000}">
      <text>
        <r>
          <rPr>
            <sz val="9"/>
            <color indexed="81"/>
            <rFont val="MS P ゴシック"/>
            <family val="3"/>
            <charset val="128"/>
          </rPr>
          <t>申請要領を参考に、セル右側のプルダウンボタンから業種を選択してください。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5" authorId="0" shapeId="0" xr:uid="{4D95B018-8542-44CF-A7D3-187F3ECFFB12}">
      <text>
        <r>
          <rPr>
            <sz val="9"/>
            <color indexed="81"/>
            <rFont val="MS P ゴシック"/>
            <family val="3"/>
            <charset val="128"/>
          </rPr>
          <t>セル右側のプルダウンボタンから「元号」を選択してください。</t>
        </r>
      </text>
    </comment>
    <comment ref="I12" authorId="0" shapeId="0" xr:uid="{515E883F-5BAA-4A57-812E-7722AEEF407B}">
      <text>
        <r>
          <rPr>
            <sz val="9"/>
            <color indexed="81"/>
            <rFont val="MS P ゴシック"/>
            <family val="3"/>
            <charset val="128"/>
          </rPr>
          <t>セル右側のプルダウンボタンから「元号」を選択してください。</t>
        </r>
      </text>
    </comment>
    <comment ref="I13" authorId="0" shapeId="0" xr:uid="{4F90049A-7CC6-493A-9C21-B2C20940DBB8}">
      <text>
        <r>
          <rPr>
            <sz val="9"/>
            <color indexed="81"/>
            <rFont val="MS P ゴシック"/>
            <family val="3"/>
            <charset val="128"/>
          </rPr>
          <t>セル右側のプルダウンボタンから「元号」を選択してください。</t>
        </r>
      </text>
    </comment>
    <comment ref="I14" authorId="0" shapeId="0" xr:uid="{82A60C45-17DE-43D0-BA08-3F9B8D81400F}">
      <text>
        <r>
          <rPr>
            <sz val="9"/>
            <color indexed="81"/>
            <rFont val="MS P ゴシック"/>
            <family val="3"/>
            <charset val="128"/>
          </rPr>
          <t>セル右側のプルダウンボタンから「元号」を選択してください。</t>
        </r>
      </text>
    </comment>
    <comment ref="I15" authorId="0" shapeId="0" xr:uid="{270D2D54-E0BB-4C55-B9C1-032A1D6F2E11}">
      <text>
        <r>
          <rPr>
            <sz val="9"/>
            <color indexed="81"/>
            <rFont val="MS P ゴシック"/>
            <family val="3"/>
            <charset val="128"/>
          </rPr>
          <t>セル右側のプルダウンボタンから「元号」を選択してください。</t>
        </r>
      </text>
    </comment>
    <comment ref="I16" authorId="0" shapeId="0" xr:uid="{756F6583-907A-4FA5-AEFF-3414905D5C2F}">
      <text>
        <r>
          <rPr>
            <sz val="9"/>
            <color indexed="81"/>
            <rFont val="MS P ゴシック"/>
            <family val="3"/>
            <charset val="128"/>
          </rPr>
          <t>セル右側のプルダウンボタンから「元号」を選択してください。</t>
        </r>
      </text>
    </comment>
    <comment ref="I17" authorId="0" shapeId="0" xr:uid="{90B99EC8-9BCE-45CF-B70C-436A2D38BDDD}">
      <text>
        <r>
          <rPr>
            <sz val="9"/>
            <color indexed="81"/>
            <rFont val="MS P ゴシック"/>
            <family val="3"/>
            <charset val="128"/>
          </rPr>
          <t>セル右側のプルダウンボタンから「元号」を選択してください。</t>
        </r>
      </text>
    </comment>
    <comment ref="I18" authorId="0" shapeId="0" xr:uid="{590DB756-DDC3-4DAD-9BEF-34AAFD031EBB}">
      <text>
        <r>
          <rPr>
            <sz val="9"/>
            <color indexed="81"/>
            <rFont val="MS P ゴシック"/>
            <family val="3"/>
            <charset val="128"/>
          </rPr>
          <t>セル右側のプルダウンボタンから「元号」を選択してください。</t>
        </r>
      </text>
    </comment>
    <comment ref="I19" authorId="0" shapeId="0" xr:uid="{78854EC6-21C7-489F-AD05-9949A2EB5032}">
      <text>
        <r>
          <rPr>
            <sz val="9"/>
            <color indexed="81"/>
            <rFont val="MS P ゴシック"/>
            <family val="3"/>
            <charset val="128"/>
          </rPr>
          <t>セル右側のプルダウンボタンから「元号」を選択してください。</t>
        </r>
      </text>
    </comment>
    <comment ref="I20" authorId="0" shapeId="0" xr:uid="{382F4809-39A5-4555-A3E2-B3EB2B7CA1CC}">
      <text>
        <r>
          <rPr>
            <sz val="9"/>
            <color indexed="81"/>
            <rFont val="MS P ゴシック"/>
            <family val="3"/>
            <charset val="128"/>
          </rPr>
          <t>セル右側のプルダウンボタンから「元号」を選択してください。</t>
        </r>
      </text>
    </comment>
    <comment ref="I21" authorId="0" shapeId="0" xr:uid="{929F0E78-A64B-4092-8ADB-DE5E0BEEABCB}">
      <text>
        <r>
          <rPr>
            <sz val="9"/>
            <color indexed="81"/>
            <rFont val="MS P ゴシック"/>
            <family val="3"/>
            <charset val="128"/>
          </rPr>
          <t>セル右側のプルダウンボタンから「元号」を選択してください。</t>
        </r>
      </text>
    </comment>
    <comment ref="I22" authorId="0" shapeId="0" xr:uid="{040EA66F-FFE5-46F2-AB68-E4FE9D946DA0}">
      <text>
        <r>
          <rPr>
            <sz val="9"/>
            <color indexed="81"/>
            <rFont val="MS P ゴシック"/>
            <family val="3"/>
            <charset val="128"/>
          </rPr>
          <t>セル右側のプルダウンボタンから「元号」を選択してください。</t>
        </r>
      </text>
    </comment>
    <comment ref="I23" authorId="0" shapeId="0" xr:uid="{C6EF18A4-3623-4574-AC5E-ED163D6A5296}">
      <text>
        <r>
          <rPr>
            <sz val="9"/>
            <color indexed="81"/>
            <rFont val="MS P ゴシック"/>
            <family val="3"/>
            <charset val="128"/>
          </rPr>
          <t>セル右側のプルダウンボタンから「元号」を選択してください。</t>
        </r>
      </text>
    </comment>
    <comment ref="J32" authorId="0" shapeId="0" xr:uid="{7C21D53A-0BAB-4F57-A25E-A3A6745A6AE8}">
      <text>
        <r>
          <rPr>
            <b/>
            <sz val="9"/>
            <color indexed="81"/>
            <rFont val="MS P ゴシック"/>
            <family val="3"/>
            <charset val="128"/>
          </rPr>
          <t>和暦で入力してください。</t>
        </r>
      </text>
    </comment>
    <comment ref="S32" authorId="0" shapeId="0" xr:uid="{1F6057DB-6309-447C-A0B4-7007503EDF46}">
      <text>
        <r>
          <rPr>
            <b/>
            <sz val="9"/>
            <color indexed="81"/>
            <rFont val="MS P ゴシック"/>
            <family val="3"/>
            <charset val="128"/>
          </rPr>
          <t>和暦で入力してください。</t>
        </r>
      </text>
    </comment>
    <comment ref="I43" authorId="0" shapeId="0" xr:uid="{00000000-0006-0000-0200-00000E000000}">
      <text>
        <r>
          <rPr>
            <sz val="9"/>
            <color indexed="81"/>
            <rFont val="MS P ゴシック"/>
            <family val="3"/>
            <charset val="128"/>
          </rPr>
          <t>セル右側のプルダウンボタンから、
該当するものを選択してください。</t>
        </r>
      </text>
    </comment>
    <comment ref="W43" authorId="0" shapeId="0" xr:uid="{50108617-1C3E-46F1-BD53-3C0350AB1FE5}">
      <text>
        <r>
          <rPr>
            <sz val="9"/>
            <color indexed="81"/>
            <rFont val="MS P ゴシック"/>
            <family val="3"/>
            <charset val="128"/>
          </rPr>
          <t>セル右側のプルダウンボタンから、
該当するものを選択してください。</t>
        </r>
      </text>
    </comment>
    <comment ref="I44" authorId="0" shapeId="0" xr:uid="{B4B7FD46-9630-41AE-8DC8-7F8DE92FC1B1}">
      <text>
        <r>
          <rPr>
            <sz val="9"/>
            <color indexed="81"/>
            <rFont val="MS P ゴシック"/>
            <family val="3"/>
            <charset val="128"/>
          </rPr>
          <t>セル右側のプルダウンボタンから、
該当するものを選択してください。</t>
        </r>
      </text>
    </comment>
    <comment ref="W44" authorId="0" shapeId="0" xr:uid="{B64556CE-217E-4F67-A759-F41FBFB97E5C}">
      <text>
        <r>
          <rPr>
            <sz val="9"/>
            <color indexed="81"/>
            <rFont val="MS P ゴシック"/>
            <family val="3"/>
            <charset val="128"/>
          </rPr>
          <t>セル右側のプルダウンボタンから、
該当するものを選択してください。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4" authorId="0" shapeId="0" xr:uid="{00000000-0006-0000-0300-000001000000}">
      <text>
        <r>
          <rPr>
            <sz val="9"/>
            <color indexed="81"/>
            <rFont val="MS P ゴシック"/>
            <family val="3"/>
            <charset val="128"/>
          </rPr>
          <t>セル右側のプルダウンボタンから
該当するものを選択してください。
「代理人を置く」を選択した場合は、以下の欄に入力してください。</t>
        </r>
      </text>
    </comment>
    <comment ref="J5" authorId="0" shapeId="0" xr:uid="{00000000-0006-0000-0300-000002000000}">
      <text>
        <r>
          <rPr>
            <sz val="9"/>
            <color indexed="81"/>
            <rFont val="MS P ゴシック"/>
            <family val="3"/>
            <charset val="128"/>
          </rPr>
          <t>半角数字で入力してください。
ハイフンで区切ってください。</t>
        </r>
      </text>
    </comment>
    <comment ref="G7" authorId="0" shapeId="0" xr:uid="{01EC89C3-43C5-40E2-9B8F-FC34DC5D55AA}">
      <text>
        <r>
          <rPr>
            <sz val="9"/>
            <color indexed="81"/>
            <rFont val="MS P ゴシック"/>
            <family val="3"/>
            <charset val="128"/>
          </rPr>
          <t>都道府県名を入力してください。</t>
        </r>
      </text>
    </comment>
    <comment ref="K7" authorId="0" shapeId="0" xr:uid="{00000000-0006-0000-0300-000003000000}">
      <text>
        <r>
          <rPr>
            <sz val="9"/>
            <color indexed="81"/>
            <rFont val="MS P ゴシック"/>
            <family val="3"/>
            <charset val="128"/>
          </rPr>
          <t xml:space="preserve">市区町村以下の住所を入力してください。
すべて全角で入力してください。
</t>
        </r>
        <r>
          <rPr>
            <b/>
            <sz val="9"/>
            <color indexed="81"/>
            <rFont val="MS P ゴシック"/>
            <family val="3"/>
            <charset val="128"/>
          </rPr>
          <t>番地等は「－」（ハイフン）で区切り、「丁目、番、号」は使用しないでください。</t>
        </r>
        <r>
          <rPr>
            <sz val="9"/>
            <color indexed="81"/>
            <rFont val="MS P ゴシック"/>
            <family val="3"/>
            <charset val="128"/>
          </rPr>
          <t xml:space="preserve">
【例】３丁目２番１号 → ３－２－１</t>
        </r>
      </text>
    </comment>
    <comment ref="G8" authorId="0" shapeId="0" xr:uid="{00000000-0006-0000-0300-000004000000}">
      <text>
        <r>
          <rPr>
            <sz val="9"/>
            <color indexed="81"/>
            <rFont val="MS P ゴシック"/>
            <family val="3"/>
            <charset val="128"/>
          </rPr>
          <t>市外局番から入力してください。
ハイフンで区切ってください。</t>
        </r>
      </text>
    </comment>
    <comment ref="U8" authorId="0" shapeId="0" xr:uid="{00000000-0006-0000-0300-000005000000}">
      <text>
        <r>
          <rPr>
            <sz val="9"/>
            <color indexed="81"/>
            <rFont val="MS P ゴシック"/>
            <family val="3"/>
            <charset val="128"/>
          </rPr>
          <t>市外局番から入力してください。
ハイフンで区切ってください。</t>
        </r>
      </text>
    </comment>
    <comment ref="G9" authorId="0" shapeId="0" xr:uid="{00000000-0006-0000-0300-000006000000}">
      <text>
        <r>
          <rPr>
            <b/>
            <sz val="9"/>
            <color indexed="81"/>
            <rFont val="MS P ゴシック"/>
            <family val="3"/>
            <charset val="128"/>
          </rPr>
          <t>「商号又は名称」の後にスペースを入力し、「支店等名称」を入力してください。</t>
        </r>
        <r>
          <rPr>
            <sz val="9"/>
            <color indexed="81"/>
            <rFont val="MS P ゴシック"/>
            <family val="3"/>
            <charset val="128"/>
          </rPr>
          <t xml:space="preserve">
すべて全角で入力してください。
【例】（株）新潟商事　長岡支店</t>
        </r>
      </text>
    </comment>
    <comment ref="E10" authorId="0" shapeId="0" xr:uid="{00000000-0006-0000-0300-000007000000}">
      <text>
        <r>
          <rPr>
            <sz val="9"/>
            <color indexed="81"/>
            <rFont val="MS P ゴシック"/>
            <family val="3"/>
            <charset val="128"/>
          </rPr>
          <t>全角で入力してください。</t>
        </r>
      </text>
    </comment>
    <comment ref="U10" authorId="0" shapeId="0" xr:uid="{5127F911-29CF-49CF-A004-5DF2040715A2}">
      <text>
        <r>
          <rPr>
            <sz val="9"/>
            <color indexed="81"/>
            <rFont val="MS P ゴシック"/>
            <family val="3"/>
            <charset val="128"/>
          </rPr>
          <t>全角で入力してください。
氏と名の間にスペースを入力してください。</t>
        </r>
      </text>
    </comment>
    <comment ref="J22" authorId="0" shapeId="0" xr:uid="{00000000-0006-0000-0300-000008000000}">
      <text>
        <r>
          <rPr>
            <sz val="9"/>
            <color indexed="81"/>
            <rFont val="MS P ゴシック"/>
            <family val="3"/>
            <charset val="128"/>
          </rPr>
          <t>セル右側のプルダウンボタンから
該当するものを選択してください。
（先に上記８を選択してください。）
※上記８で「代理人を置く」を選択した場合は、必ず「登録しない」となります。</t>
        </r>
      </text>
    </comment>
    <comment ref="I31" authorId="0" shapeId="0" xr:uid="{00000000-0006-0000-0300-000009000000}">
      <text>
        <r>
          <rPr>
            <sz val="9"/>
            <color indexed="81"/>
            <rFont val="MS P ゴシック"/>
            <family val="3"/>
            <charset val="128"/>
          </rPr>
          <t>セル右側のプルダウンボタンから
該当するものを選択してください。
「その他住所」を選択した場合のみ、
以下の欄も入力してください。</t>
        </r>
      </text>
    </comment>
    <comment ref="K33" authorId="0" shapeId="0" xr:uid="{00000000-0006-0000-0300-00000A000000}">
      <text>
        <r>
          <rPr>
            <sz val="9"/>
            <color indexed="81"/>
            <rFont val="MS P ゴシック"/>
            <family val="3"/>
            <charset val="128"/>
          </rPr>
          <t>半角数字で入力してください。
ハイフンで区切ってください。</t>
        </r>
      </text>
    </comment>
    <comment ref="G35" authorId="0" shapeId="0" xr:uid="{16BF3B26-99DA-44C4-BA13-8ED3630C83F7}">
      <text>
        <r>
          <rPr>
            <sz val="9"/>
            <color indexed="81"/>
            <rFont val="MS P ゴシック"/>
            <family val="3"/>
            <charset val="128"/>
          </rPr>
          <t>都道府県名を入力してください。</t>
        </r>
      </text>
    </comment>
    <comment ref="K35" authorId="0" shapeId="0" xr:uid="{00000000-0006-0000-0300-00000B000000}">
      <text>
        <r>
          <rPr>
            <sz val="9"/>
            <color indexed="81"/>
            <rFont val="MS P ゴシック"/>
            <family val="3"/>
            <charset val="128"/>
          </rPr>
          <t>市区町村以下の住所を入力してください。
すべて全角で入力してください。
番地等は「－」（ハイフン）で区切り、「丁目、番、号」は使用しないでください。
【例】３丁目２番１号 → ３－２－１</t>
        </r>
      </text>
    </comment>
    <comment ref="G36" authorId="0" shapeId="0" xr:uid="{00000000-0006-0000-0300-00000C000000}">
      <text>
        <r>
          <rPr>
            <sz val="9"/>
            <color indexed="81"/>
            <rFont val="MS P ゴシック"/>
            <family val="3"/>
            <charset val="128"/>
          </rPr>
          <t>市外局番から入力してください。
ハイフンで区切ってください。</t>
        </r>
      </text>
    </comment>
    <comment ref="U36" authorId="0" shapeId="0" xr:uid="{00000000-0006-0000-0300-00000D000000}">
      <text>
        <r>
          <rPr>
            <sz val="9"/>
            <color indexed="81"/>
            <rFont val="MS P ゴシック"/>
            <family val="3"/>
            <charset val="128"/>
          </rPr>
          <t>市外局番から入力してください。
ハイフンで区切ってください。</t>
        </r>
      </text>
    </comment>
    <comment ref="G37" authorId="0" shapeId="0" xr:uid="{00000000-0006-0000-0300-00000E000000}">
      <text>
        <r>
          <rPr>
            <sz val="9"/>
            <color indexed="81"/>
            <rFont val="MS P ゴシック"/>
            <family val="3"/>
            <charset val="128"/>
          </rPr>
          <t>「商号又は名称」と送付先の支店名（部署名）等を続けて入力してください。
すべて全角で入力してください。
【例】（株）新潟商事　販売部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5" authorId="0" shapeId="0" xr:uid="{5E93B23F-804A-42DF-A222-B4558C5D15B7}">
      <text>
        <r>
          <rPr>
            <sz val="9"/>
            <color indexed="81"/>
            <rFont val="ＭＳ Ｐゴシック"/>
            <family val="3"/>
            <charset val="128"/>
          </rPr>
          <t xml:space="preserve">セル右側のボタンから「加入している」「加入していない」を選択してください。
選択した事項に自動的に○が付きます。
</t>
        </r>
      </text>
    </comment>
    <comment ref="B8" authorId="0" shapeId="0" xr:uid="{16EA6865-AFDB-420C-839E-ADB559149EE8}">
      <text>
        <r>
          <rPr>
            <sz val="9"/>
            <color indexed="81"/>
            <rFont val="ＭＳ Ｐゴシック"/>
            <family val="3"/>
            <charset val="128"/>
          </rPr>
          <t>セル右側のボタンから「加入している」「加入していない」を選択してください。
選択した事項に自動的に○が付きます。</t>
        </r>
      </text>
    </comment>
    <comment ref="B11" authorId="0" shapeId="0" xr:uid="{7C22886C-83A9-423F-858C-9672BF323808}">
      <text>
        <r>
          <rPr>
            <sz val="9"/>
            <color indexed="81"/>
            <rFont val="ＭＳ Ｐゴシック"/>
            <family val="3"/>
            <charset val="128"/>
          </rPr>
          <t xml:space="preserve">セルの右側のボタンから「遵守している」「遵守していない」を選択してください。
選択した事項に自動的に○が付きます。
</t>
        </r>
      </text>
    </comment>
    <comment ref="B13" authorId="0" shapeId="0" xr:uid="{8ABEA21C-9D54-488E-AEB9-28BB9484407E}">
      <text>
        <r>
          <rPr>
            <sz val="9"/>
            <color indexed="81"/>
            <rFont val="ＭＳ Ｐゴシック"/>
            <family val="3"/>
            <charset val="128"/>
          </rPr>
          <t xml:space="preserve">セル右側のボタンから「行っている」「行っていない」を選択してください。
選択した事項に自動的に○が付きます。
</t>
        </r>
      </text>
    </comment>
    <comment ref="B15" authorId="0" shapeId="0" xr:uid="{DC2941FD-4E06-44A8-9075-5925F9F86992}">
      <text>
        <r>
          <rPr>
            <sz val="9"/>
            <color indexed="81"/>
            <rFont val="ＭＳ Ｐゴシック"/>
            <family val="3"/>
            <charset val="128"/>
          </rPr>
          <t xml:space="preserve">セル右側のボタンから「なし」「あり」を選択してください。
選択した事項に自動的に○が付きます。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AK5" authorId="0" shapeId="0" xr:uid="{00000000-0006-0000-0600-000001000000}">
      <text>
        <r>
          <rPr>
            <sz val="9"/>
            <color indexed="81"/>
            <rFont val="ＭＳ Ｐゴシック"/>
            <family val="3"/>
            <charset val="128"/>
          </rPr>
          <t>印刷の入札参加を希望するが、印刷機械を所持していない場合は、このセル右側のプルダウンボタンから「◯」を選択してください。</t>
        </r>
      </text>
    </comment>
    <comment ref="AC10" authorId="0" shapeId="0" xr:uid="{00000000-0006-0000-0600-000002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1" authorId="0" shapeId="0" xr:uid="{00000000-0006-0000-0600-000003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2" authorId="0" shapeId="0" xr:uid="{00000000-0006-0000-0600-000004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3" authorId="0" shapeId="0" xr:uid="{00000000-0006-0000-0600-000005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4" authorId="0" shapeId="0" xr:uid="{00000000-0006-0000-0600-000006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5" authorId="0" shapeId="0" xr:uid="{00000000-0006-0000-0600-000007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6" authorId="0" shapeId="0" xr:uid="{00000000-0006-0000-0600-000008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7" authorId="0" shapeId="0" xr:uid="{00000000-0006-0000-0600-000009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8" authorId="0" shapeId="0" xr:uid="{00000000-0006-0000-0600-00000A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 ref="AC19" authorId="0" shapeId="0" xr:uid="{00000000-0006-0000-0600-00000B000000}">
      <text>
        <r>
          <rPr>
            <sz val="9"/>
            <color indexed="81"/>
            <rFont val="MS P ゴシック"/>
            <family val="3"/>
            <charset val="128"/>
          </rPr>
          <t>裁断機、折機、丁合機、無線綴機、針金綴機、ミシン、穴あけ機、背貼機、マーブル貼機等の機械名とそのサイズ、型名を入力願います。</t>
        </r>
      </text>
    </comment>
  </commentList>
</comments>
</file>

<file path=xl/sharedStrings.xml><?xml version="1.0" encoding="utf-8"?>
<sst xmlns="http://schemas.openxmlformats.org/spreadsheetml/2006/main" count="1965" uniqueCount="924">
  <si>
    <t>２　指名競争入札における販売区域の限定の有無</t>
    <rPh sb="2" eb="4">
      <t>シメイ</t>
    </rPh>
    <rPh sb="4" eb="6">
      <t>キョウソウ</t>
    </rPh>
    <rPh sb="6" eb="8">
      <t>ニュウサツ</t>
    </rPh>
    <rPh sb="12" eb="14">
      <t>ハンバイ</t>
    </rPh>
    <rPh sb="14" eb="16">
      <t>クイキ</t>
    </rPh>
    <rPh sb="17" eb="19">
      <t>ゲンテイ</t>
    </rPh>
    <rPh sb="20" eb="22">
      <t>ウム</t>
    </rPh>
    <phoneticPr fontId="2"/>
  </si>
  <si>
    <t>靴下</t>
    <rPh sb="0" eb="2">
      <t>クツシタ</t>
    </rPh>
    <phoneticPr fontId="2"/>
  </si>
  <si>
    <t>(耐刃）防護衣</t>
    <rPh sb="1" eb="2">
      <t>タイ</t>
    </rPh>
    <rPh sb="2" eb="3">
      <t>ハ</t>
    </rPh>
    <rPh sb="4" eb="6">
      <t>ボウゴ</t>
    </rPh>
    <rPh sb="6" eb="7">
      <t>ギヌ</t>
    </rPh>
    <phoneticPr fontId="2"/>
  </si>
  <si>
    <t>警備靴（革）</t>
    <rPh sb="0" eb="2">
      <t>ケイビ</t>
    </rPh>
    <rPh sb="2" eb="3">
      <t>クツ</t>
    </rPh>
    <rPh sb="4" eb="5">
      <t>カワ</t>
    </rPh>
    <phoneticPr fontId="2"/>
  </si>
  <si>
    <t>雨衣・防寒着</t>
    <rPh sb="0" eb="1">
      <t>アメ</t>
    </rPh>
    <rPh sb="1" eb="2">
      <t>ギヌ</t>
    </rPh>
    <rPh sb="3" eb="5">
      <t>ボウカン</t>
    </rPh>
    <rPh sb="5" eb="6">
      <t>キ</t>
    </rPh>
    <phoneticPr fontId="2"/>
  </si>
  <si>
    <t>注</t>
    <rPh sb="0" eb="1">
      <t>チュウ</t>
    </rPh>
    <phoneticPr fontId="2"/>
  </si>
  <si>
    <t>千円</t>
    <rPh sb="0" eb="2">
      <t>センエン</t>
    </rPh>
    <phoneticPr fontId="2"/>
  </si>
  <si>
    <t>資本金</t>
    <rPh sb="0" eb="3">
      <t>シホンキン</t>
    </rPh>
    <phoneticPr fontId="2"/>
  </si>
  <si>
    <t>～</t>
    <phoneticPr fontId="2"/>
  </si>
  <si>
    <t>認証等の区分</t>
    <rPh sb="0" eb="2">
      <t>ニンショウ</t>
    </rPh>
    <rPh sb="2" eb="3">
      <t>トウ</t>
    </rPh>
    <rPh sb="4" eb="6">
      <t>クブン</t>
    </rPh>
    <phoneticPr fontId="2"/>
  </si>
  <si>
    <t>代理人</t>
    <rPh sb="0" eb="3">
      <t>ダイリニン</t>
    </rPh>
    <phoneticPr fontId="2"/>
  </si>
  <si>
    <t>支店等名称</t>
    <rPh sb="0" eb="2">
      <t>シテン</t>
    </rPh>
    <rPh sb="2" eb="3">
      <t>トウ</t>
    </rPh>
    <rPh sb="3" eb="5">
      <t>メイショウ</t>
    </rPh>
    <phoneticPr fontId="2"/>
  </si>
  <si>
    <t>ファクシミリ番号</t>
    <rPh sb="6" eb="8">
      <t>バンゴウ</t>
    </rPh>
    <phoneticPr fontId="2"/>
  </si>
  <si>
    <t>代理人選定の有無</t>
    <rPh sb="0" eb="2">
      <t>ダイリ</t>
    </rPh>
    <rPh sb="2" eb="3">
      <t>ニン</t>
    </rPh>
    <rPh sb="3" eb="5">
      <t>センテイ</t>
    </rPh>
    <rPh sb="6" eb="8">
      <t>ウム</t>
    </rPh>
    <phoneticPr fontId="2"/>
  </si>
  <si>
    <t>電子組
版装置</t>
    <rPh sb="0" eb="2">
      <t>デンシ</t>
    </rPh>
    <rPh sb="2" eb="3">
      <t>グミ</t>
    </rPh>
    <rPh sb="4" eb="5">
      <t>ハン</t>
    </rPh>
    <rPh sb="5" eb="7">
      <t>ソウチ</t>
    </rPh>
    <phoneticPr fontId="2"/>
  </si>
  <si>
    <t>編集入力機</t>
    <rPh sb="0" eb="2">
      <t>ヘンシュウ</t>
    </rPh>
    <rPh sb="2" eb="4">
      <t>ニュウリョク</t>
    </rPh>
    <rPh sb="4" eb="5">
      <t>キ</t>
    </rPh>
    <phoneticPr fontId="2"/>
  </si>
  <si>
    <t>出力機</t>
    <rPh sb="0" eb="2">
      <t>シュツリョク</t>
    </rPh>
    <rPh sb="2" eb="3">
      <t>キ</t>
    </rPh>
    <phoneticPr fontId="2"/>
  </si>
  <si>
    <t>組版</t>
    <rPh sb="0" eb="2">
      <t>クミハン</t>
    </rPh>
    <phoneticPr fontId="2"/>
  </si>
  <si>
    <t>台</t>
    <rPh sb="0" eb="1">
      <t>ダイ</t>
    </rPh>
    <phoneticPr fontId="2"/>
  </si>
  <si>
    <t>製版機</t>
    <rPh sb="0" eb="3">
      <t>セイハンキ</t>
    </rPh>
    <phoneticPr fontId="2"/>
  </si>
  <si>
    <t>刷版焼付機</t>
    <rPh sb="0" eb="1">
      <t>サツ</t>
    </rPh>
    <rPh sb="1" eb="2">
      <t>ハン</t>
    </rPh>
    <rPh sb="2" eb="3">
      <t>ヤ</t>
    </rPh>
    <rPh sb="3" eb="4">
      <t>ツ</t>
    </rPh>
    <rPh sb="4" eb="5">
      <t>キ</t>
    </rPh>
    <phoneticPr fontId="2"/>
  </si>
  <si>
    <t>製版</t>
    <rPh sb="0" eb="2">
      <t>セイハン</t>
    </rPh>
    <phoneticPr fontId="2"/>
  </si>
  <si>
    <t>判</t>
    <rPh sb="0" eb="1">
      <t>ハン</t>
    </rPh>
    <phoneticPr fontId="2"/>
  </si>
  <si>
    <t>白黒</t>
    <rPh sb="0" eb="2">
      <t>シロクロ</t>
    </rPh>
    <phoneticPr fontId="2"/>
  </si>
  <si>
    <t>台数</t>
    <rPh sb="0" eb="2">
      <t>ダイスウ</t>
    </rPh>
    <phoneticPr fontId="2"/>
  </si>
  <si>
    <t>製本</t>
    <rPh sb="0" eb="2">
      <t>セイホン</t>
    </rPh>
    <phoneticPr fontId="2"/>
  </si>
  <si>
    <t>機械名・判・型</t>
    <rPh sb="0" eb="2">
      <t>キカイ</t>
    </rPh>
    <rPh sb="2" eb="3">
      <t>メイ</t>
    </rPh>
    <rPh sb="4" eb="5">
      <t>ハン</t>
    </rPh>
    <rPh sb="6" eb="7">
      <t>カタ</t>
    </rPh>
    <phoneticPr fontId="2"/>
  </si>
  <si>
    <t>印刷機</t>
    <rPh sb="0" eb="2">
      <t>インサツ</t>
    </rPh>
    <rPh sb="2" eb="3">
      <t>キ</t>
    </rPh>
    <phoneticPr fontId="2"/>
  </si>
  <si>
    <t>サイズ・色数</t>
    <rPh sb="4" eb="5">
      <t>イロ</t>
    </rPh>
    <rPh sb="5" eb="6">
      <t>スウ</t>
    </rPh>
    <phoneticPr fontId="2"/>
  </si>
  <si>
    <t>組版</t>
    <rPh sb="0" eb="1">
      <t>クミ</t>
    </rPh>
    <rPh sb="1" eb="2">
      <t>ハン</t>
    </rPh>
    <phoneticPr fontId="2"/>
  </si>
  <si>
    <t>台数</t>
    <rPh sb="0" eb="1">
      <t>ダイ</t>
    </rPh>
    <rPh sb="1" eb="2">
      <t>スウ</t>
    </rPh>
    <phoneticPr fontId="2"/>
  </si>
  <si>
    <t>凸輪機</t>
    <rPh sb="0" eb="1">
      <t>トツ</t>
    </rPh>
    <rPh sb="1" eb="2">
      <t>リン</t>
    </rPh>
    <rPh sb="2" eb="3">
      <t>キ</t>
    </rPh>
    <phoneticPr fontId="2"/>
  </si>
  <si>
    <t>色数・カーボン</t>
    <rPh sb="0" eb="1">
      <t>イロ</t>
    </rPh>
    <rPh sb="1" eb="2">
      <t>スウ</t>
    </rPh>
    <phoneticPr fontId="2"/>
  </si>
  <si>
    <t>機器名等</t>
    <rPh sb="0" eb="2">
      <t>キキ</t>
    </rPh>
    <rPh sb="2" eb="3">
      <t>メイ</t>
    </rPh>
    <rPh sb="3" eb="4">
      <t>トウ</t>
    </rPh>
    <phoneticPr fontId="2"/>
  </si>
  <si>
    <t>数量</t>
    <rPh sb="0" eb="2">
      <t>スウリョウ</t>
    </rPh>
    <phoneticPr fontId="2"/>
  </si>
  <si>
    <t>連続封筒印刷</t>
    <rPh sb="0" eb="2">
      <t>レンゾク</t>
    </rPh>
    <rPh sb="2" eb="4">
      <t>フウトウ</t>
    </rPh>
    <rPh sb="4" eb="6">
      <t>インサツ</t>
    </rPh>
    <phoneticPr fontId="2"/>
  </si>
  <si>
    <t>ＵＶ装置</t>
    <rPh sb="2" eb="4">
      <t>ソウチ</t>
    </rPh>
    <phoneticPr fontId="2"/>
  </si>
  <si>
    <t>機器名</t>
    <rPh sb="0" eb="2">
      <t>キキ</t>
    </rPh>
    <rPh sb="2" eb="3">
      <t>メイ</t>
    </rPh>
    <phoneticPr fontId="2"/>
  </si>
  <si>
    <t>封入封緘機</t>
    <rPh sb="0" eb="2">
      <t>フウニュウ</t>
    </rPh>
    <rPh sb="2" eb="4">
      <t>フウカン</t>
    </rPh>
    <rPh sb="4" eb="5">
      <t>キ</t>
    </rPh>
    <phoneticPr fontId="2"/>
  </si>
  <si>
    <t>ドライシーラー機</t>
    <rPh sb="7" eb="8">
      <t>キ</t>
    </rPh>
    <phoneticPr fontId="2"/>
  </si>
  <si>
    <t>室</t>
    <rPh sb="0" eb="1">
      <t>シツ</t>
    </rPh>
    <phoneticPr fontId="2"/>
  </si>
  <si>
    <t>ラベル貼機</t>
    <rPh sb="3" eb="4">
      <t>テン</t>
    </rPh>
    <rPh sb="4" eb="5">
      <t>キ</t>
    </rPh>
    <phoneticPr fontId="2"/>
  </si>
  <si>
    <t>各印刷共通その他予備欄</t>
    <rPh sb="0" eb="1">
      <t>カク</t>
    </rPh>
    <rPh sb="1" eb="3">
      <t>インサツ</t>
    </rPh>
    <rPh sb="3" eb="5">
      <t>キョウツウ</t>
    </rPh>
    <rPh sb="7" eb="8">
      <t>タ</t>
    </rPh>
    <rPh sb="8" eb="10">
      <t>ヨビ</t>
    </rPh>
    <rPh sb="10" eb="11">
      <t>ラン</t>
    </rPh>
    <phoneticPr fontId="2"/>
  </si>
  <si>
    <t>数量等</t>
    <rPh sb="0" eb="2">
      <t>スウリョウ</t>
    </rPh>
    <rPh sb="2" eb="3">
      <t>トウ</t>
    </rPh>
    <phoneticPr fontId="2"/>
  </si>
  <si>
    <t>フォーム印刷機</t>
    <rPh sb="4" eb="6">
      <t>インサツ</t>
    </rPh>
    <rPh sb="6" eb="7">
      <t>キ</t>
    </rPh>
    <phoneticPr fontId="2"/>
  </si>
  <si>
    <t>住所</t>
    <rPh sb="0" eb="2">
      <t>ジュウショ</t>
    </rPh>
    <phoneticPr fontId="2"/>
  </si>
  <si>
    <t>設備機械の保有状況</t>
    <rPh sb="0" eb="2">
      <t>セツビ</t>
    </rPh>
    <rPh sb="2" eb="4">
      <t>キカイ</t>
    </rPh>
    <rPh sb="5" eb="7">
      <t>ホユウ</t>
    </rPh>
    <rPh sb="7" eb="9">
      <t>ジョウキョウ</t>
    </rPh>
    <phoneticPr fontId="2"/>
  </si>
  <si>
    <t>承継等に関する事項</t>
    <rPh sb="0" eb="2">
      <t>ショウケイ</t>
    </rPh>
    <rPh sb="2" eb="3">
      <t>トウ</t>
    </rPh>
    <rPh sb="4" eb="5">
      <t>カン</t>
    </rPh>
    <rPh sb="7" eb="9">
      <t>ジコウ</t>
    </rPh>
    <phoneticPr fontId="2"/>
  </si>
  <si>
    <t>ふりがな</t>
    <phoneticPr fontId="2"/>
  </si>
  <si>
    <t>種目名</t>
    <rPh sb="0" eb="2">
      <t>シュモク</t>
    </rPh>
    <rPh sb="2" eb="3">
      <t>メイ</t>
    </rPh>
    <phoneticPr fontId="2"/>
  </si>
  <si>
    <t>(</t>
    <phoneticPr fontId="2"/>
  </si>
  <si>
    <t>)</t>
    <phoneticPr fontId="2"/>
  </si>
  <si>
    <t>ロータリ除雪車</t>
    <rPh sb="4" eb="6">
      <t>ジョセツ</t>
    </rPh>
    <rPh sb="6" eb="7">
      <t>シャ</t>
    </rPh>
    <phoneticPr fontId="2"/>
  </si>
  <si>
    <t>上記に該当しないもの</t>
    <rPh sb="0" eb="2">
      <t>ジョウキ</t>
    </rPh>
    <rPh sb="3" eb="5">
      <t>ガイトウ</t>
    </rPh>
    <phoneticPr fontId="2"/>
  </si>
  <si>
    <t>噴霧機械</t>
    <rPh sb="0" eb="2">
      <t>フンム</t>
    </rPh>
    <rPh sb="2" eb="4">
      <t>キカイ</t>
    </rPh>
    <phoneticPr fontId="2"/>
  </si>
  <si>
    <t>畜産用機器</t>
    <rPh sb="0" eb="2">
      <t>チクサン</t>
    </rPh>
    <rPh sb="2" eb="3">
      <t>ヨウ</t>
    </rPh>
    <rPh sb="3" eb="5">
      <t>キキ</t>
    </rPh>
    <phoneticPr fontId="2"/>
  </si>
  <si>
    <t>取　扱　品　目（取扱品目にチェックマークを付して下さい。）</t>
    <rPh sb="0" eb="1">
      <t>トリ</t>
    </rPh>
    <rPh sb="2" eb="3">
      <t>アツカ</t>
    </rPh>
    <rPh sb="4" eb="5">
      <t>シナ</t>
    </rPh>
    <rPh sb="6" eb="7">
      <t>メ</t>
    </rPh>
    <rPh sb="8" eb="10">
      <t>トリアツカ</t>
    </rPh>
    <rPh sb="10" eb="12">
      <t>ヒンモク</t>
    </rPh>
    <rPh sb="21" eb="22">
      <t>フ</t>
    </rPh>
    <rPh sb="24" eb="25">
      <t>クダ</t>
    </rPh>
    <phoneticPr fontId="2"/>
  </si>
  <si>
    <t>その他和洋紙製品</t>
    <rPh sb="2" eb="3">
      <t>タ</t>
    </rPh>
    <rPh sb="3" eb="4">
      <t>ワ</t>
    </rPh>
    <rPh sb="4" eb="6">
      <t>ヨウシ</t>
    </rPh>
    <rPh sb="6" eb="8">
      <t>セイヒン</t>
    </rPh>
    <phoneticPr fontId="2"/>
  </si>
  <si>
    <t>養鶏用機器</t>
    <rPh sb="0" eb="3">
      <t>ヨウケイヨウ</t>
    </rPh>
    <rPh sb="3" eb="5">
      <t>キキ</t>
    </rPh>
    <phoneticPr fontId="2"/>
  </si>
  <si>
    <t>信号機用電球</t>
    <rPh sb="0" eb="2">
      <t>シンゴウ</t>
    </rPh>
    <rPh sb="2" eb="3">
      <t>キ</t>
    </rPh>
    <rPh sb="3" eb="4">
      <t>ヨウ</t>
    </rPh>
    <rPh sb="4" eb="6">
      <t>デンキュウ</t>
    </rPh>
    <phoneticPr fontId="2"/>
  </si>
  <si>
    <t>農業薬品・農業資機材</t>
    <rPh sb="0" eb="2">
      <t>ノウギョウ</t>
    </rPh>
    <rPh sb="2" eb="4">
      <t>ヤクヒン</t>
    </rPh>
    <rPh sb="5" eb="7">
      <t>ノウギョウ</t>
    </rPh>
    <rPh sb="7" eb="8">
      <t>シ</t>
    </rPh>
    <rPh sb="8" eb="10">
      <t>キザイ</t>
    </rPh>
    <phoneticPr fontId="2"/>
  </si>
  <si>
    <t>施設・機械用消耗資機材</t>
    <rPh sb="0" eb="2">
      <t>シセツ</t>
    </rPh>
    <rPh sb="3" eb="5">
      <t>キカイ</t>
    </rPh>
    <rPh sb="5" eb="6">
      <t>ヨウ</t>
    </rPh>
    <rPh sb="6" eb="8">
      <t>ショウモウ</t>
    </rPh>
    <rPh sb="8" eb="9">
      <t>シ</t>
    </rPh>
    <rPh sb="9" eb="11">
      <t>キザイ</t>
    </rPh>
    <phoneticPr fontId="2"/>
  </si>
  <si>
    <t>実験・分析用消耗資機材</t>
    <rPh sb="0" eb="2">
      <t>ジッケン</t>
    </rPh>
    <rPh sb="3" eb="5">
      <t>ブンセキ</t>
    </rPh>
    <rPh sb="5" eb="6">
      <t>ヨウ</t>
    </rPh>
    <rPh sb="6" eb="8">
      <t>ショウモウ</t>
    </rPh>
    <rPh sb="8" eb="11">
      <t>シキザイ</t>
    </rPh>
    <phoneticPr fontId="2"/>
  </si>
  <si>
    <t>個人情報保護を含む印刷</t>
    <rPh sb="0" eb="2">
      <t>コジン</t>
    </rPh>
    <rPh sb="2" eb="4">
      <t>ジョウホウ</t>
    </rPh>
    <rPh sb="4" eb="6">
      <t>ホゴ</t>
    </rPh>
    <rPh sb="7" eb="8">
      <t>フク</t>
    </rPh>
    <rPh sb="9" eb="11">
      <t>インサツ</t>
    </rPh>
    <phoneticPr fontId="2"/>
  </si>
  <si>
    <r>
      <t>"秘</t>
    </r>
    <r>
      <rPr>
        <sz val="11"/>
        <rFont val="ＭＳ Ｐゴシック"/>
        <family val="3"/>
        <charset val="128"/>
      </rPr>
      <t>"重要用紙印刷</t>
    </r>
    <rPh sb="1" eb="2">
      <t>ヒ</t>
    </rPh>
    <rPh sb="3" eb="5">
      <t>ジュウヨウ</t>
    </rPh>
    <rPh sb="5" eb="7">
      <t>ヨウシ</t>
    </rPh>
    <rPh sb="7" eb="9">
      <t>インサツ</t>
    </rPh>
    <phoneticPr fontId="2"/>
  </si>
  <si>
    <t>申請者名称等</t>
    <rPh sb="0" eb="3">
      <t>シンセイシャ</t>
    </rPh>
    <rPh sb="3" eb="5">
      <t>メイショウ</t>
    </rPh>
    <rPh sb="5" eb="6">
      <t>トウ</t>
    </rPh>
    <phoneticPr fontId="2"/>
  </si>
  <si>
    <t>申請区分</t>
    <rPh sb="0" eb="2">
      <t>シンセイ</t>
    </rPh>
    <rPh sb="2" eb="4">
      <t>クブン</t>
    </rPh>
    <phoneticPr fontId="2"/>
  </si>
  <si>
    <t>プライバシーマーク</t>
    <phoneticPr fontId="2"/>
  </si>
  <si>
    <t>軽・平</t>
    <rPh sb="0" eb="1">
      <t>ケイ</t>
    </rPh>
    <rPh sb="2" eb="3">
      <t>ヘイ</t>
    </rPh>
    <phoneticPr fontId="2"/>
  </si>
  <si>
    <t>刷版焼付機</t>
  </si>
  <si>
    <t>スキャナー</t>
  </si>
  <si>
    <t>輪転機</t>
    <rPh sb="0" eb="3">
      <t>リンテンキ</t>
    </rPh>
    <phoneticPr fontId="2"/>
  </si>
  <si>
    <t>その他</t>
  </si>
  <si>
    <t>追刷機</t>
  </si>
  <si>
    <t>カラー</t>
    <phoneticPr fontId="2"/>
  </si>
  <si>
    <t>サイズ・色数</t>
    <phoneticPr fontId="2"/>
  </si>
  <si>
    <t>OCR</t>
    <phoneticPr fontId="2"/>
  </si>
  <si>
    <t>コーナーカット</t>
    <phoneticPr fontId="2"/>
  </si>
  <si>
    <t>ファイルホール</t>
    <phoneticPr fontId="2"/>
  </si>
  <si>
    <t>ＪＰミシン</t>
    <phoneticPr fontId="2"/>
  </si>
  <si>
    <t>オフ輪機</t>
    <phoneticPr fontId="2"/>
  </si>
  <si>
    <t>コレーター</t>
    <phoneticPr fontId="2"/>
  </si>
  <si>
    <t>バスター</t>
    <phoneticPr fontId="2"/>
  </si>
  <si>
    <t>オフ＋凸輪</t>
    <phoneticPr fontId="2"/>
  </si>
  <si>
    <t>セキュリティ</t>
    <phoneticPr fontId="2"/>
  </si>
  <si>
    <t>拳銃用つりひも</t>
    <rPh sb="0" eb="2">
      <t>ケンジュウ</t>
    </rPh>
    <rPh sb="2" eb="3">
      <t>ヨウ</t>
    </rPh>
    <phoneticPr fontId="2"/>
  </si>
  <si>
    <t>魚沼市</t>
  </si>
  <si>
    <t>柏崎市・刈羽村</t>
  </si>
  <si>
    <t>妙高市</t>
  </si>
  <si>
    <t>第１号様式　別紙１</t>
    <rPh sb="0" eb="1">
      <t>ダイ</t>
    </rPh>
    <rPh sb="2" eb="3">
      <t>ゴウ</t>
    </rPh>
    <rPh sb="3" eb="5">
      <t>ヨウシキ</t>
    </rPh>
    <rPh sb="6" eb="8">
      <t>ベッシ</t>
    </rPh>
    <phoneticPr fontId="2"/>
  </si>
  <si>
    <t>支店・営業所・工場等の名称</t>
    <rPh sb="0" eb="2">
      <t>シテン</t>
    </rPh>
    <rPh sb="3" eb="6">
      <t>エイギョウショ</t>
    </rPh>
    <rPh sb="7" eb="9">
      <t>コウジョウ</t>
    </rPh>
    <rPh sb="9" eb="10">
      <t>トウ</t>
    </rPh>
    <rPh sb="11" eb="13">
      <t>メイショウ</t>
    </rPh>
    <phoneticPr fontId="2"/>
  </si>
  <si>
    <t>第１号様式　別紙２</t>
    <rPh sb="0" eb="1">
      <t>ダイ</t>
    </rPh>
    <rPh sb="2" eb="3">
      <t>ゴウ</t>
    </rPh>
    <rPh sb="3" eb="5">
      <t>ヨウシキ</t>
    </rPh>
    <rPh sb="6" eb="8">
      <t>ベッシ</t>
    </rPh>
    <phoneticPr fontId="2"/>
  </si>
  <si>
    <t>許認可等(許可・登録・認可・届出等）</t>
    <rPh sb="0" eb="3">
      <t>キョニンカ</t>
    </rPh>
    <rPh sb="3" eb="4">
      <t>トウ</t>
    </rPh>
    <rPh sb="5" eb="7">
      <t>キョカ</t>
    </rPh>
    <rPh sb="8" eb="10">
      <t>トウロク</t>
    </rPh>
    <rPh sb="11" eb="13">
      <t>ニンカ</t>
    </rPh>
    <rPh sb="14" eb="16">
      <t>トドケデ</t>
    </rPh>
    <rPh sb="16" eb="17">
      <t>トウ</t>
    </rPh>
    <phoneticPr fontId="2"/>
  </si>
  <si>
    <t>６　経営状況等</t>
    <rPh sb="2" eb="4">
      <t>ケイエイ</t>
    </rPh>
    <rPh sb="4" eb="6">
      <t>ジョウキョウ</t>
    </rPh>
    <rPh sb="6" eb="7">
      <t>トウ</t>
    </rPh>
    <phoneticPr fontId="2"/>
  </si>
  <si>
    <t>第１号様式　別紙３</t>
    <rPh sb="0" eb="1">
      <t>ダイ</t>
    </rPh>
    <rPh sb="2" eb="3">
      <t>ゴウ</t>
    </rPh>
    <rPh sb="3" eb="5">
      <t>ヨウシキ</t>
    </rPh>
    <rPh sb="6" eb="8">
      <t>ベッシ</t>
    </rPh>
    <phoneticPr fontId="2"/>
  </si>
  <si>
    <t>液体クロマトグラフ</t>
    <rPh sb="0" eb="1">
      <t>エキ</t>
    </rPh>
    <rPh sb="1" eb="2">
      <t>タイ</t>
    </rPh>
    <phoneticPr fontId="2"/>
  </si>
  <si>
    <t>小形除雪車（乗用）</t>
    <rPh sb="0" eb="2">
      <t>コガタ</t>
    </rPh>
    <rPh sb="2" eb="4">
      <t>ジョセツ</t>
    </rPh>
    <rPh sb="4" eb="5">
      <t>シャ</t>
    </rPh>
    <rPh sb="6" eb="8">
      <t>ジョウヨウ</t>
    </rPh>
    <phoneticPr fontId="2"/>
  </si>
  <si>
    <t>手押式除雪機</t>
    <rPh sb="0" eb="2">
      <t>テオ</t>
    </rPh>
    <rPh sb="2" eb="3">
      <t>シキ</t>
    </rPh>
    <rPh sb="3" eb="6">
      <t>ジョセツキ</t>
    </rPh>
    <phoneticPr fontId="2"/>
  </si>
  <si>
    <t>船舶・航空機</t>
    <rPh sb="0" eb="2">
      <t>センパク</t>
    </rPh>
    <rPh sb="3" eb="6">
      <t>コウクウキ</t>
    </rPh>
    <phoneticPr fontId="2"/>
  </si>
  <si>
    <t>航空機</t>
    <rPh sb="0" eb="3">
      <t>コウクウキ</t>
    </rPh>
    <phoneticPr fontId="2"/>
  </si>
  <si>
    <t>航空機装備品</t>
    <rPh sb="0" eb="3">
      <t>コウクウキ</t>
    </rPh>
    <rPh sb="3" eb="6">
      <t>ソウビヒン</t>
    </rPh>
    <phoneticPr fontId="2"/>
  </si>
  <si>
    <t>仮設トイレ・簡易トイレ</t>
    <rPh sb="0" eb="2">
      <t>カセツ</t>
    </rPh>
    <rPh sb="6" eb="8">
      <t>カンイ</t>
    </rPh>
    <phoneticPr fontId="2"/>
  </si>
  <si>
    <t>教育用材料</t>
    <rPh sb="0" eb="3">
      <t>キョウイクヨウ</t>
    </rPh>
    <rPh sb="3" eb="5">
      <t>ザイリョウ</t>
    </rPh>
    <phoneticPr fontId="2"/>
  </si>
  <si>
    <t>医療用衣料</t>
    <rPh sb="0" eb="3">
      <t>イリョウヨウ</t>
    </rPh>
    <rPh sb="3" eb="5">
      <t>イリョウ</t>
    </rPh>
    <phoneticPr fontId="2"/>
  </si>
  <si>
    <t>（警察官用を除く）</t>
    <rPh sb="1" eb="5">
      <t>ケイサツカンヨウ</t>
    </rPh>
    <rPh sb="6" eb="7">
      <t>ノゾ</t>
    </rPh>
    <phoneticPr fontId="2"/>
  </si>
  <si>
    <t>長靴</t>
    <rPh sb="0" eb="1">
      <t>チョウ</t>
    </rPh>
    <rPh sb="1" eb="2">
      <t>クツ</t>
    </rPh>
    <phoneticPr fontId="2"/>
  </si>
  <si>
    <t>消防ポンプ・ホース</t>
    <rPh sb="0" eb="2">
      <t>ショウボウ</t>
    </rPh>
    <phoneticPr fontId="2"/>
  </si>
  <si>
    <t>毛布</t>
    <rPh sb="0" eb="2">
      <t>モウフ</t>
    </rPh>
    <phoneticPr fontId="2"/>
  </si>
  <si>
    <t>携帯式トイレ</t>
    <rPh sb="0" eb="2">
      <t>ケイタイ</t>
    </rPh>
    <rPh sb="2" eb="3">
      <t>シキ</t>
    </rPh>
    <phoneticPr fontId="2"/>
  </si>
  <si>
    <t>靴類</t>
    <rPh sb="0" eb="1">
      <t>クツ</t>
    </rPh>
    <rPh sb="1" eb="2">
      <t>ルイ</t>
    </rPh>
    <phoneticPr fontId="2"/>
  </si>
  <si>
    <t>拳銃入れ</t>
    <rPh sb="0" eb="2">
      <t>ケンジュウ</t>
    </rPh>
    <rPh sb="2" eb="3">
      <t>イ</t>
    </rPh>
    <phoneticPr fontId="2"/>
  </si>
  <si>
    <t>警棒つり</t>
    <rPh sb="0" eb="2">
      <t>ケイボウ</t>
    </rPh>
    <phoneticPr fontId="2"/>
  </si>
  <si>
    <t>電光掲示板</t>
    <rPh sb="0" eb="2">
      <t>デンコウ</t>
    </rPh>
    <rPh sb="2" eb="4">
      <t>ケイジ</t>
    </rPh>
    <rPh sb="4" eb="5">
      <t>イタ</t>
    </rPh>
    <phoneticPr fontId="2"/>
  </si>
  <si>
    <t>第１号様式　別紙６</t>
    <rPh sb="0" eb="1">
      <t>ダイ</t>
    </rPh>
    <rPh sb="2" eb="3">
      <t>ゴウ</t>
    </rPh>
    <rPh sb="3" eb="5">
      <t>ヨウシキ</t>
    </rPh>
    <rPh sb="6" eb="8">
      <t>ベッシ</t>
    </rPh>
    <phoneticPr fontId="2"/>
  </si>
  <si>
    <t>種目名</t>
    <phoneticPr fontId="2"/>
  </si>
  <si>
    <t>許認可等終期</t>
    <rPh sb="0" eb="3">
      <t>キョニンカ</t>
    </rPh>
    <rPh sb="3" eb="4">
      <t>トウ</t>
    </rPh>
    <rPh sb="4" eb="6">
      <t>シュウキ</t>
    </rPh>
    <phoneticPr fontId="2"/>
  </si>
  <si>
    <t>許認可等始期</t>
    <rPh sb="0" eb="3">
      <t>キョニンカ</t>
    </rPh>
    <rPh sb="3" eb="4">
      <t>トウ</t>
    </rPh>
    <rPh sb="4" eb="6">
      <t>シキ</t>
    </rPh>
    <phoneticPr fontId="2"/>
  </si>
  <si>
    <t>許認可等官公庁名</t>
    <rPh sb="0" eb="3">
      <t>キョニンカ</t>
    </rPh>
    <rPh sb="3" eb="4">
      <t>トウ</t>
    </rPh>
    <rPh sb="4" eb="7">
      <t>カンコウチョウ</t>
    </rPh>
    <rPh sb="7" eb="8">
      <t>メイ</t>
    </rPh>
    <phoneticPr fontId="2"/>
  </si>
  <si>
    <t>申請日直近の事業年度の始期・終期</t>
    <rPh sb="0" eb="2">
      <t>シンセイ</t>
    </rPh>
    <rPh sb="2" eb="3">
      <t>ヒ</t>
    </rPh>
    <rPh sb="3" eb="5">
      <t>チョッキン</t>
    </rPh>
    <rPh sb="6" eb="8">
      <t>ジギョウ</t>
    </rPh>
    <rPh sb="8" eb="10">
      <t>ネンド</t>
    </rPh>
    <rPh sb="11" eb="13">
      <t>シキ</t>
    </rPh>
    <rPh sb="14" eb="16">
      <t>シュウキ</t>
    </rPh>
    <phoneticPr fontId="2"/>
  </si>
  <si>
    <t>申請日直近の事業年度の売上高</t>
    <rPh sb="0" eb="2">
      <t>シンセイ</t>
    </rPh>
    <rPh sb="2" eb="3">
      <t>ヒ</t>
    </rPh>
    <rPh sb="3" eb="5">
      <t>チョッキン</t>
    </rPh>
    <rPh sb="6" eb="8">
      <t>ジギョウ</t>
    </rPh>
    <rPh sb="8" eb="10">
      <t>ネンド</t>
    </rPh>
    <rPh sb="11" eb="13">
      <t>ウリアゲ</t>
    </rPh>
    <rPh sb="13" eb="14">
      <t>タカ</t>
    </rPh>
    <phoneticPr fontId="2"/>
  </si>
  <si>
    <t>４　設立年月日（法人：登記上の年月日）・事業開始年月日 (個人)</t>
    <rPh sb="2" eb="4">
      <t>セツリツ</t>
    </rPh>
    <rPh sb="4" eb="7">
      <t>ネンガッピ</t>
    </rPh>
    <rPh sb="8" eb="10">
      <t>ホウジン</t>
    </rPh>
    <rPh sb="11" eb="14">
      <t>トウキジョウ</t>
    </rPh>
    <rPh sb="15" eb="18">
      <t>ネンガッピ</t>
    </rPh>
    <rPh sb="20" eb="22">
      <t>ジギョウ</t>
    </rPh>
    <rPh sb="22" eb="24">
      <t>カイシ</t>
    </rPh>
    <rPh sb="24" eb="27">
      <t>ネンガッピ</t>
    </rPh>
    <rPh sb="29" eb="31">
      <t>コジン</t>
    </rPh>
    <phoneticPr fontId="2"/>
  </si>
  <si>
    <t>中分類</t>
    <phoneticPr fontId="2"/>
  </si>
  <si>
    <t>商号又は名称</t>
    <phoneticPr fontId="2"/>
  </si>
  <si>
    <t>職名</t>
    <rPh sb="0" eb="2">
      <t>ショクメイ</t>
    </rPh>
    <phoneticPr fontId="2"/>
  </si>
  <si>
    <t>代表者</t>
    <phoneticPr fontId="2"/>
  </si>
  <si>
    <t>01</t>
    <phoneticPr fontId="2"/>
  </si>
  <si>
    <t>02</t>
    <phoneticPr fontId="2"/>
  </si>
  <si>
    <t>03</t>
  </si>
  <si>
    <t>03</t>
    <phoneticPr fontId="2"/>
  </si>
  <si>
    <t>04</t>
  </si>
  <si>
    <t>04</t>
    <phoneticPr fontId="2"/>
  </si>
  <si>
    <t>05</t>
  </si>
  <si>
    <t>05</t>
    <phoneticPr fontId="2"/>
  </si>
  <si>
    <t>06</t>
  </si>
  <si>
    <t>06</t>
    <phoneticPr fontId="2"/>
  </si>
  <si>
    <t>07</t>
    <phoneticPr fontId="2"/>
  </si>
  <si>
    <t>08</t>
  </si>
  <si>
    <t>08</t>
    <phoneticPr fontId="2"/>
  </si>
  <si>
    <t>09</t>
  </si>
  <si>
    <t>09</t>
    <phoneticPr fontId="2"/>
  </si>
  <si>
    <t>薬品・肥飼料・資材類</t>
    <rPh sb="0" eb="2">
      <t>ヤクヒン</t>
    </rPh>
    <rPh sb="3" eb="4">
      <t>ヒ</t>
    </rPh>
    <rPh sb="4" eb="6">
      <t>シリョウ</t>
    </rPh>
    <rPh sb="7" eb="9">
      <t>シザイ</t>
    </rPh>
    <rPh sb="9" eb="10">
      <t>ルイ</t>
    </rPh>
    <phoneticPr fontId="2"/>
  </si>
  <si>
    <t>車両・船舶類</t>
    <rPh sb="0" eb="1">
      <t>シャ</t>
    </rPh>
    <rPh sb="1" eb="2">
      <t>リョウ</t>
    </rPh>
    <rPh sb="3" eb="5">
      <t>センパク</t>
    </rPh>
    <rPh sb="5" eb="6">
      <t>ルイ</t>
    </rPh>
    <phoneticPr fontId="2"/>
  </si>
  <si>
    <t>05大分類</t>
    <rPh sb="2" eb="3">
      <t>ダイ</t>
    </rPh>
    <rPh sb="3" eb="5">
      <t>ブンルイ</t>
    </rPh>
    <phoneticPr fontId="2"/>
  </si>
  <si>
    <t>06指名</t>
    <rPh sb="2" eb="4">
      <t>シメイ</t>
    </rPh>
    <phoneticPr fontId="2"/>
  </si>
  <si>
    <t>写真機器・写真用消耗品</t>
    <rPh sb="0" eb="2">
      <t>シャシン</t>
    </rPh>
    <rPh sb="2" eb="4">
      <t>キキ</t>
    </rPh>
    <rPh sb="5" eb="7">
      <t>シャシン</t>
    </rPh>
    <rPh sb="7" eb="8">
      <t>ヨウ</t>
    </rPh>
    <rPh sb="8" eb="11">
      <t>ショウモウヒン</t>
    </rPh>
    <phoneticPr fontId="2"/>
  </si>
  <si>
    <t>農業薬品・農業資機材</t>
    <rPh sb="0" eb="2">
      <t>ノウギョウ</t>
    </rPh>
    <rPh sb="2" eb="4">
      <t>ヤクヒン</t>
    </rPh>
    <rPh sb="5" eb="7">
      <t>ノウギョウ</t>
    </rPh>
    <rPh sb="7" eb="8">
      <t>シ</t>
    </rPh>
    <rPh sb="8" eb="9">
      <t>キ</t>
    </rPh>
    <rPh sb="9" eb="10">
      <t>ザイ</t>
    </rPh>
    <phoneticPr fontId="2"/>
  </si>
  <si>
    <t>工業薬品・施設用消耗資材</t>
    <rPh sb="0" eb="2">
      <t>コウギョウ</t>
    </rPh>
    <rPh sb="2" eb="4">
      <t>ヤクヒン</t>
    </rPh>
    <rPh sb="5" eb="7">
      <t>シセツ</t>
    </rPh>
    <rPh sb="7" eb="8">
      <t>ヨウ</t>
    </rPh>
    <rPh sb="8" eb="10">
      <t>ショウモウ</t>
    </rPh>
    <rPh sb="10" eb="12">
      <t>シザイ</t>
    </rPh>
    <phoneticPr fontId="2"/>
  </si>
  <si>
    <t>鉄鋼・非鉄・鋳鉄類</t>
    <rPh sb="0" eb="2">
      <t>テッコウ</t>
    </rPh>
    <rPh sb="3" eb="4">
      <t>ヒ</t>
    </rPh>
    <rPh sb="4" eb="5">
      <t>テツ</t>
    </rPh>
    <rPh sb="6" eb="8">
      <t>チュウテツ</t>
    </rPh>
    <rPh sb="8" eb="9">
      <t>ルイ</t>
    </rPh>
    <phoneticPr fontId="2"/>
  </si>
  <si>
    <t>コンクリート・セメント・舗装材類</t>
    <rPh sb="12" eb="14">
      <t>ホソウ</t>
    </rPh>
    <rPh sb="14" eb="15">
      <t>ザイ</t>
    </rPh>
    <rPh sb="15" eb="16">
      <t>ルイ</t>
    </rPh>
    <phoneticPr fontId="2"/>
  </si>
  <si>
    <t>運動具</t>
    <rPh sb="0" eb="3">
      <t>ウンドウグ</t>
    </rPh>
    <phoneticPr fontId="2"/>
  </si>
  <si>
    <t>徽章・記念品・贈答品類</t>
    <rPh sb="0" eb="2">
      <t>キショウ</t>
    </rPh>
    <rPh sb="3" eb="6">
      <t>キネンヒン</t>
    </rPh>
    <rPh sb="7" eb="10">
      <t>ゾウトウヒン</t>
    </rPh>
    <rPh sb="10" eb="11">
      <t>ルイ</t>
    </rPh>
    <phoneticPr fontId="2"/>
  </si>
  <si>
    <t>被服・繊維・寝具（警察官用を除く）</t>
    <rPh sb="0" eb="2">
      <t>ヒフク</t>
    </rPh>
    <rPh sb="3" eb="5">
      <t>センイ</t>
    </rPh>
    <rPh sb="6" eb="8">
      <t>シング</t>
    </rPh>
    <rPh sb="9" eb="12">
      <t>ケイサツカン</t>
    </rPh>
    <rPh sb="12" eb="13">
      <t>ヨウ</t>
    </rPh>
    <rPh sb="14" eb="15">
      <t>ノゾ</t>
    </rPh>
    <phoneticPr fontId="2"/>
  </si>
  <si>
    <t>消防・防災・保安用品（警察官用を除く）</t>
    <rPh sb="0" eb="2">
      <t>ショウボウ</t>
    </rPh>
    <rPh sb="3" eb="5">
      <t>ボウサイ</t>
    </rPh>
    <rPh sb="6" eb="8">
      <t>ホアン</t>
    </rPh>
    <rPh sb="8" eb="10">
      <t>ヨウヒン</t>
    </rPh>
    <rPh sb="11" eb="13">
      <t>ケイサツ</t>
    </rPh>
    <rPh sb="13" eb="14">
      <t>カン</t>
    </rPh>
    <rPh sb="14" eb="15">
      <t>ヨウ</t>
    </rPh>
    <rPh sb="16" eb="17">
      <t>ノゾ</t>
    </rPh>
    <phoneticPr fontId="2"/>
  </si>
  <si>
    <t>警察官用被服（防護衣を除く）</t>
    <rPh sb="0" eb="3">
      <t>ケイサツカン</t>
    </rPh>
    <rPh sb="3" eb="4">
      <t>ヨウ</t>
    </rPh>
    <rPh sb="4" eb="6">
      <t>ヒフク</t>
    </rPh>
    <rPh sb="7" eb="9">
      <t>ボウゴ</t>
    </rPh>
    <rPh sb="9" eb="10">
      <t>ギヌ</t>
    </rPh>
    <rPh sb="11" eb="12">
      <t>ノゾ</t>
    </rPh>
    <phoneticPr fontId="2"/>
  </si>
  <si>
    <t>警察官用装備品</t>
    <rPh sb="0" eb="2">
      <t>ケイサツ</t>
    </rPh>
    <rPh sb="2" eb="3">
      <t>カン</t>
    </rPh>
    <rPh sb="3" eb="4">
      <t>ヨウ</t>
    </rPh>
    <rPh sb="4" eb="7">
      <t>ソウビヒン</t>
    </rPh>
    <phoneticPr fontId="2"/>
  </si>
  <si>
    <t>看板・旗類等</t>
    <rPh sb="0" eb="1">
      <t>ミ</t>
    </rPh>
    <rPh sb="1" eb="2">
      <t>イタ</t>
    </rPh>
    <rPh sb="3" eb="4">
      <t>ハタ</t>
    </rPh>
    <rPh sb="4" eb="5">
      <t>ルイ</t>
    </rPh>
    <rPh sb="5" eb="6">
      <t>トウ</t>
    </rPh>
    <phoneticPr fontId="2"/>
  </si>
  <si>
    <t>車両・船舶・航空機装備品</t>
    <rPh sb="0" eb="2">
      <t>シャリョウ</t>
    </rPh>
    <rPh sb="3" eb="5">
      <t>センパク</t>
    </rPh>
    <rPh sb="6" eb="9">
      <t>コウクウキ</t>
    </rPh>
    <rPh sb="9" eb="12">
      <t>ソウビヒン</t>
    </rPh>
    <phoneticPr fontId="2"/>
  </si>
  <si>
    <t>201</t>
  </si>
  <si>
    <t>新潟市</t>
  </si>
  <si>
    <t>202</t>
  </si>
  <si>
    <t>長岡市</t>
  </si>
  <si>
    <t>204</t>
  </si>
  <si>
    <t>三条市</t>
  </si>
  <si>
    <t>205</t>
  </si>
  <si>
    <t>柏崎市</t>
  </si>
  <si>
    <t>206</t>
  </si>
  <si>
    <t>新発田市</t>
  </si>
  <si>
    <t>208</t>
  </si>
  <si>
    <t>小千谷市</t>
  </si>
  <si>
    <t>209</t>
  </si>
  <si>
    <t>加茂市</t>
  </si>
  <si>
    <t>210</t>
  </si>
  <si>
    <t>十日町市</t>
  </si>
  <si>
    <t>211</t>
  </si>
  <si>
    <t>見附市</t>
  </si>
  <si>
    <t>212</t>
  </si>
  <si>
    <t>村上市</t>
  </si>
  <si>
    <t>213</t>
  </si>
  <si>
    <t>燕市</t>
  </si>
  <si>
    <t>216</t>
  </si>
  <si>
    <t>糸魚川市</t>
  </si>
  <si>
    <t>217</t>
  </si>
  <si>
    <t>218</t>
  </si>
  <si>
    <t>五泉市</t>
  </si>
  <si>
    <t>222</t>
  </si>
  <si>
    <t>上越市</t>
  </si>
  <si>
    <t>223</t>
  </si>
  <si>
    <t>阿賀野市</t>
  </si>
  <si>
    <t>224</t>
  </si>
  <si>
    <t>佐渡市</t>
  </si>
  <si>
    <t>225</t>
  </si>
  <si>
    <t>226</t>
  </si>
  <si>
    <t>南魚沼市</t>
  </si>
  <si>
    <t>227</t>
  </si>
  <si>
    <t>胎内市</t>
  </si>
  <si>
    <t>307</t>
  </si>
  <si>
    <t>聖籠町</t>
  </si>
  <si>
    <t>342</t>
  </si>
  <si>
    <t>弥彦村</t>
  </si>
  <si>
    <t>361</t>
  </si>
  <si>
    <t>田上町</t>
  </si>
  <si>
    <t>385</t>
  </si>
  <si>
    <t>阿賀町</t>
  </si>
  <si>
    <t>405</t>
  </si>
  <si>
    <t>出雲崎町</t>
  </si>
  <si>
    <t>461</t>
  </si>
  <si>
    <t>湯沢町</t>
  </si>
  <si>
    <t>482</t>
  </si>
  <si>
    <t>津南町</t>
  </si>
  <si>
    <t>504</t>
  </si>
  <si>
    <t>刈羽村</t>
  </si>
  <si>
    <t>581</t>
  </si>
  <si>
    <t>関川村</t>
  </si>
  <si>
    <t>586</t>
  </si>
  <si>
    <t>粟島浦村</t>
  </si>
  <si>
    <t>999</t>
  </si>
  <si>
    <t>県外</t>
  </si>
  <si>
    <t>○</t>
    <phoneticPr fontId="2"/>
  </si>
  <si>
    <t>×</t>
    <phoneticPr fontId="2"/>
  </si>
  <si>
    <t>代理人住所</t>
    <rPh sb="0" eb="3">
      <t>ダイリニン</t>
    </rPh>
    <rPh sb="3" eb="5">
      <t>ジュウショ</t>
    </rPh>
    <phoneticPr fontId="2"/>
  </si>
  <si>
    <t>月</t>
    <rPh sb="0" eb="1">
      <t>ガツ</t>
    </rPh>
    <phoneticPr fontId="2"/>
  </si>
  <si>
    <t>日</t>
    <rPh sb="0" eb="1">
      <t>ニチ</t>
    </rPh>
    <phoneticPr fontId="2"/>
  </si>
  <si>
    <t>送付先名称</t>
    <rPh sb="0" eb="2">
      <t>ソウフ</t>
    </rPh>
    <rPh sb="2" eb="3">
      <t>サキ</t>
    </rPh>
    <rPh sb="3" eb="5">
      <t>メイショウ</t>
    </rPh>
    <phoneticPr fontId="2"/>
  </si>
  <si>
    <t>工業用薬品・施設用</t>
    <rPh sb="0" eb="2">
      <t>コウギョウ</t>
    </rPh>
    <rPh sb="2" eb="3">
      <t>ヨウ</t>
    </rPh>
    <rPh sb="3" eb="5">
      <t>ヤクヒン</t>
    </rPh>
    <rPh sb="6" eb="9">
      <t>シセツヨウ</t>
    </rPh>
    <phoneticPr fontId="2"/>
  </si>
  <si>
    <t>車両・船舶・航空機</t>
    <rPh sb="0" eb="2">
      <t>シャリョウ</t>
    </rPh>
    <rPh sb="3" eb="5">
      <t>センパク</t>
    </rPh>
    <rPh sb="6" eb="9">
      <t>コウクウキ</t>
    </rPh>
    <phoneticPr fontId="2"/>
  </si>
  <si>
    <t>徽章・記念品・贈答品</t>
    <rPh sb="0" eb="2">
      <t>キショウ</t>
    </rPh>
    <rPh sb="3" eb="6">
      <t>キネンヒン</t>
    </rPh>
    <rPh sb="7" eb="10">
      <t>ゾウトウヒン</t>
    </rPh>
    <phoneticPr fontId="2"/>
  </si>
  <si>
    <t>写真機器・写真用</t>
    <rPh sb="0" eb="2">
      <t>シャシン</t>
    </rPh>
    <rPh sb="2" eb="4">
      <t>キキ</t>
    </rPh>
    <rPh sb="5" eb="7">
      <t>シャシン</t>
    </rPh>
    <rPh sb="7" eb="8">
      <t>ヨウ</t>
    </rPh>
    <phoneticPr fontId="2"/>
  </si>
  <si>
    <t>村上市・関川村・粟島浦村</t>
    <rPh sb="0" eb="3">
      <t>ムラカミシ</t>
    </rPh>
    <rPh sb="4" eb="7">
      <t>セキカワムラ</t>
    </rPh>
    <rPh sb="8" eb="12">
      <t>アワシマウラムラ</t>
    </rPh>
    <phoneticPr fontId="2"/>
  </si>
  <si>
    <t>新発田市・胎内市・聖籠町</t>
    <rPh sb="0" eb="4">
      <t>シバタシ</t>
    </rPh>
    <rPh sb="5" eb="7">
      <t>タイナイ</t>
    </rPh>
    <rPh sb="7" eb="8">
      <t>シ</t>
    </rPh>
    <rPh sb="9" eb="12">
      <t>セイロウマチ</t>
    </rPh>
    <phoneticPr fontId="2"/>
  </si>
  <si>
    <t>新潟市・阿賀野市</t>
    <rPh sb="0" eb="3">
      <t>ニイガタシ</t>
    </rPh>
    <rPh sb="4" eb="7">
      <t>アガノ</t>
    </rPh>
    <rPh sb="7" eb="8">
      <t>シ</t>
    </rPh>
    <phoneticPr fontId="2"/>
  </si>
  <si>
    <t>五泉市・阿賀町</t>
    <rPh sb="0" eb="2">
      <t>ゴセン</t>
    </rPh>
    <rPh sb="2" eb="3">
      <t>シ</t>
    </rPh>
    <rPh sb="4" eb="7">
      <t>アガマチ</t>
    </rPh>
    <phoneticPr fontId="2"/>
  </si>
  <si>
    <t>三条市・加茂市・燕市・弥彦村・田上町</t>
    <rPh sb="0" eb="3">
      <t>サンジョウシ</t>
    </rPh>
    <rPh sb="4" eb="7">
      <t>カモシ</t>
    </rPh>
    <rPh sb="8" eb="10">
      <t>ツバメシ</t>
    </rPh>
    <rPh sb="11" eb="14">
      <t>ヤヒコムラ</t>
    </rPh>
    <rPh sb="15" eb="18">
      <t>タガミマチ</t>
    </rPh>
    <phoneticPr fontId="2"/>
  </si>
  <si>
    <t>長岡市・小千谷市・見附市・出雲崎市</t>
    <rPh sb="0" eb="3">
      <t>ナガオカシ</t>
    </rPh>
    <rPh sb="4" eb="5">
      <t>コ</t>
    </rPh>
    <rPh sb="5" eb="6">
      <t>セン</t>
    </rPh>
    <rPh sb="6" eb="7">
      <t>タニ</t>
    </rPh>
    <rPh sb="7" eb="8">
      <t>シ</t>
    </rPh>
    <rPh sb="9" eb="12">
      <t>ミツケシ</t>
    </rPh>
    <rPh sb="13" eb="16">
      <t>イズモザキ</t>
    </rPh>
    <rPh sb="16" eb="17">
      <t>シ</t>
    </rPh>
    <phoneticPr fontId="2"/>
  </si>
  <si>
    <t>南魚沼市・湯沢町</t>
    <rPh sb="0" eb="1">
      <t>ミナミ</t>
    </rPh>
    <rPh sb="1" eb="3">
      <t>ウオヌマ</t>
    </rPh>
    <rPh sb="3" eb="4">
      <t>シ</t>
    </rPh>
    <rPh sb="5" eb="8">
      <t>ユザワマチ</t>
    </rPh>
    <phoneticPr fontId="2"/>
  </si>
  <si>
    <t>十日町市・津南町</t>
    <rPh sb="0" eb="4">
      <t>トオカマチシ</t>
    </rPh>
    <rPh sb="5" eb="8">
      <t>ツナンマチ</t>
    </rPh>
    <phoneticPr fontId="2"/>
  </si>
  <si>
    <t>上越市</t>
    <phoneticPr fontId="2"/>
  </si>
  <si>
    <t>人</t>
    <rPh sb="0" eb="1">
      <t>ニン</t>
    </rPh>
    <phoneticPr fontId="2"/>
  </si>
  <si>
    <t>第１号様式</t>
    <rPh sb="0" eb="1">
      <t>ダイ</t>
    </rPh>
    <rPh sb="2" eb="3">
      <t>ゴウ</t>
    </rPh>
    <rPh sb="3" eb="5">
      <t>ヨウシキ</t>
    </rPh>
    <phoneticPr fontId="2"/>
  </si>
  <si>
    <t>登録番号</t>
    <rPh sb="0" eb="2">
      <t>トウロク</t>
    </rPh>
    <rPh sb="2" eb="4">
      <t>バンゴウ</t>
    </rPh>
    <phoneticPr fontId="2"/>
  </si>
  <si>
    <t>日</t>
    <rPh sb="0" eb="1">
      <t>ヒ</t>
    </rPh>
    <phoneticPr fontId="2"/>
  </si>
  <si>
    <t>月</t>
    <rPh sb="0" eb="1">
      <t>ツキ</t>
    </rPh>
    <phoneticPr fontId="2"/>
  </si>
  <si>
    <t>年</t>
    <rPh sb="0" eb="1">
      <t>ネン</t>
    </rPh>
    <phoneticPr fontId="2"/>
  </si>
  <si>
    <t>郵便番号</t>
    <rPh sb="0" eb="2">
      <t>ユウビン</t>
    </rPh>
    <rPh sb="2" eb="4">
      <t>バンゴウ</t>
    </rPh>
    <phoneticPr fontId="2"/>
  </si>
  <si>
    <t>氏名</t>
    <rPh sb="0" eb="2">
      <t>シメイ</t>
    </rPh>
    <phoneticPr fontId="2"/>
  </si>
  <si>
    <t>営業区分</t>
    <rPh sb="0" eb="2">
      <t>エイギョウ</t>
    </rPh>
    <rPh sb="2" eb="4">
      <t>クブン</t>
    </rPh>
    <phoneticPr fontId="2"/>
  </si>
  <si>
    <t>営業概要</t>
    <rPh sb="0" eb="2">
      <t>エイギョウ</t>
    </rPh>
    <rPh sb="2" eb="4">
      <t>ガイヨウ</t>
    </rPh>
    <phoneticPr fontId="2"/>
  </si>
  <si>
    <t>順位</t>
    <rPh sb="0" eb="2">
      <t>ジュンイ</t>
    </rPh>
    <phoneticPr fontId="2"/>
  </si>
  <si>
    <t>コード番号</t>
    <rPh sb="3" eb="5">
      <t>バンゴウ</t>
    </rPh>
    <phoneticPr fontId="2"/>
  </si>
  <si>
    <t>大分類</t>
    <rPh sb="0" eb="3">
      <t>ダイブンルイ</t>
    </rPh>
    <phoneticPr fontId="2"/>
  </si>
  <si>
    <t>文具事務機器類</t>
    <rPh sb="0" eb="2">
      <t>ブング</t>
    </rPh>
    <rPh sb="2" eb="4">
      <t>ジム</t>
    </rPh>
    <rPh sb="4" eb="7">
      <t>キキルイ</t>
    </rPh>
    <phoneticPr fontId="2"/>
  </si>
  <si>
    <t>印刷・印章類</t>
    <rPh sb="0" eb="2">
      <t>インサツ</t>
    </rPh>
    <rPh sb="3" eb="5">
      <t>インショウ</t>
    </rPh>
    <rPh sb="5" eb="6">
      <t>ルイ</t>
    </rPh>
    <phoneticPr fontId="2"/>
  </si>
  <si>
    <t>機械類</t>
    <rPh sb="0" eb="2">
      <t>キカイ</t>
    </rPh>
    <rPh sb="2" eb="3">
      <t>ルイ</t>
    </rPh>
    <phoneticPr fontId="2"/>
  </si>
  <si>
    <t>車両・船舶類</t>
    <rPh sb="0" eb="2">
      <t>シャリョウ</t>
    </rPh>
    <rPh sb="3" eb="5">
      <t>センパク</t>
    </rPh>
    <rPh sb="5" eb="6">
      <t>ルイ</t>
    </rPh>
    <phoneticPr fontId="2"/>
  </si>
  <si>
    <t>燃料・油脂類</t>
    <rPh sb="0" eb="2">
      <t>ネンリョウ</t>
    </rPh>
    <rPh sb="3" eb="5">
      <t>ユシ</t>
    </rPh>
    <rPh sb="5" eb="6">
      <t>ルイ</t>
    </rPh>
    <phoneticPr fontId="2"/>
  </si>
  <si>
    <t>雑類</t>
    <rPh sb="0" eb="1">
      <t>ザツ</t>
    </rPh>
    <rPh sb="1" eb="2">
      <t>ルイ</t>
    </rPh>
    <phoneticPr fontId="2"/>
  </si>
  <si>
    <t>中分類</t>
    <rPh sb="0" eb="1">
      <t>チュウ</t>
    </rPh>
    <rPh sb="1" eb="3">
      <t>ブンルイ</t>
    </rPh>
    <phoneticPr fontId="2"/>
  </si>
  <si>
    <t>用紙</t>
    <rPh sb="0" eb="2">
      <t>ヨウシ</t>
    </rPh>
    <phoneticPr fontId="2"/>
  </si>
  <si>
    <t>上質紙・中質紙</t>
    <rPh sb="0" eb="2">
      <t>ジョウシツ</t>
    </rPh>
    <rPh sb="2" eb="3">
      <t>シ</t>
    </rPh>
    <rPh sb="4" eb="5">
      <t>チュウ</t>
    </rPh>
    <rPh sb="5" eb="6">
      <t>シツ</t>
    </rPh>
    <rPh sb="6" eb="7">
      <t>シ</t>
    </rPh>
    <phoneticPr fontId="2"/>
  </si>
  <si>
    <t>ＰＰＣ用紙</t>
    <rPh sb="3" eb="5">
      <t>ヨウシ</t>
    </rPh>
    <phoneticPr fontId="2"/>
  </si>
  <si>
    <t>加工紙</t>
    <rPh sb="0" eb="2">
      <t>カコウ</t>
    </rPh>
    <rPh sb="2" eb="3">
      <t>カミ</t>
    </rPh>
    <phoneticPr fontId="2"/>
  </si>
  <si>
    <t>和紙</t>
    <rPh sb="0" eb="2">
      <t>ワシ</t>
    </rPh>
    <phoneticPr fontId="2"/>
  </si>
  <si>
    <t>文具・事務機器</t>
    <rPh sb="0" eb="2">
      <t>ブング</t>
    </rPh>
    <rPh sb="3" eb="5">
      <t>ジム</t>
    </rPh>
    <rPh sb="5" eb="7">
      <t>キキ</t>
    </rPh>
    <phoneticPr fontId="2"/>
  </si>
  <si>
    <t>製図台</t>
  </si>
  <si>
    <t>パソコン周辺機器</t>
    <rPh sb="4" eb="6">
      <t>シュウヘン</t>
    </rPh>
    <rPh sb="6" eb="8">
      <t>キキ</t>
    </rPh>
    <phoneticPr fontId="2"/>
  </si>
  <si>
    <t>複写機・（点字）印刷機</t>
    <rPh sb="0" eb="3">
      <t>フクシャキ</t>
    </rPh>
    <rPh sb="5" eb="7">
      <t>テンジ</t>
    </rPh>
    <rPh sb="8" eb="11">
      <t>インサツキ</t>
    </rPh>
    <phoneticPr fontId="2"/>
  </si>
  <si>
    <t>ＯＡ消耗品</t>
    <rPh sb="2" eb="5">
      <t>ショウモウヒン</t>
    </rPh>
    <phoneticPr fontId="2"/>
  </si>
  <si>
    <t>その他事務機器</t>
    <rPh sb="2" eb="3">
      <t>タ</t>
    </rPh>
    <rPh sb="3" eb="5">
      <t>ジム</t>
    </rPh>
    <rPh sb="5" eb="7">
      <t>キキ</t>
    </rPh>
    <phoneticPr fontId="2"/>
  </si>
  <si>
    <t>家具類</t>
    <rPh sb="0" eb="2">
      <t>カグ</t>
    </rPh>
    <rPh sb="2" eb="3">
      <t>ルイ</t>
    </rPh>
    <phoneticPr fontId="2"/>
  </si>
  <si>
    <t>家具</t>
    <rPh sb="0" eb="2">
      <t>カグ</t>
    </rPh>
    <phoneticPr fontId="2"/>
  </si>
  <si>
    <t>木製家具</t>
    <rPh sb="0" eb="2">
      <t>モクセイ</t>
    </rPh>
    <rPh sb="2" eb="4">
      <t>カグ</t>
    </rPh>
    <phoneticPr fontId="2"/>
  </si>
  <si>
    <t>スチール家具</t>
    <rPh sb="4" eb="6">
      <t>カグ</t>
    </rPh>
    <phoneticPr fontId="2"/>
  </si>
  <si>
    <t>図書館用什器</t>
    <rPh sb="0" eb="3">
      <t>トショカン</t>
    </rPh>
    <rPh sb="3" eb="4">
      <t>ヨウ</t>
    </rPh>
    <rPh sb="4" eb="6">
      <t>ジュウキ</t>
    </rPh>
    <phoneticPr fontId="2"/>
  </si>
  <si>
    <t>美術館用什器</t>
    <rPh sb="0" eb="3">
      <t>ビジュツカン</t>
    </rPh>
    <rPh sb="3" eb="4">
      <t>ヨウ</t>
    </rPh>
    <rPh sb="4" eb="6">
      <t>ジュウキ</t>
    </rPh>
    <phoneticPr fontId="2"/>
  </si>
  <si>
    <t>移動棚</t>
    <rPh sb="0" eb="2">
      <t>イドウ</t>
    </rPh>
    <rPh sb="2" eb="3">
      <t>タナ</t>
    </rPh>
    <phoneticPr fontId="2"/>
  </si>
  <si>
    <t>実験台</t>
    <rPh sb="0" eb="2">
      <t>ジッケン</t>
    </rPh>
    <rPh sb="2" eb="3">
      <t>ダイ</t>
    </rPh>
    <phoneticPr fontId="2"/>
  </si>
  <si>
    <t>簡易間仕切り</t>
    <rPh sb="0" eb="2">
      <t>カンイ</t>
    </rPh>
    <rPh sb="2" eb="5">
      <t>マジキ</t>
    </rPh>
    <phoneticPr fontId="2"/>
  </si>
  <si>
    <t>その他家具類</t>
    <rPh sb="2" eb="3">
      <t>タ</t>
    </rPh>
    <rPh sb="3" eb="5">
      <t>カグ</t>
    </rPh>
    <rPh sb="5" eb="6">
      <t>ルイ</t>
    </rPh>
    <phoneticPr fontId="2"/>
  </si>
  <si>
    <t>軽印刷</t>
    <rPh sb="0" eb="1">
      <t>ケイ</t>
    </rPh>
    <rPh sb="1" eb="3">
      <t>インサツ</t>
    </rPh>
    <phoneticPr fontId="2"/>
  </si>
  <si>
    <t>会議資料・報告書</t>
    <rPh sb="0" eb="2">
      <t>カイギ</t>
    </rPh>
    <rPh sb="2" eb="4">
      <t>シリョウ</t>
    </rPh>
    <rPh sb="5" eb="8">
      <t>ホウコクショ</t>
    </rPh>
    <phoneticPr fontId="2"/>
  </si>
  <si>
    <t>冊子・パンフ・チラシ</t>
    <rPh sb="0" eb="2">
      <t>サッシ</t>
    </rPh>
    <phoneticPr fontId="2"/>
  </si>
  <si>
    <t>名入封筒</t>
    <rPh sb="0" eb="1">
      <t>ナ</t>
    </rPh>
    <rPh sb="1" eb="2">
      <t>イ</t>
    </rPh>
    <rPh sb="2" eb="4">
      <t>フウトウ</t>
    </rPh>
    <phoneticPr fontId="2"/>
  </si>
  <si>
    <t>その他軽印刷</t>
    <rPh sb="2" eb="3">
      <t>タ</t>
    </rPh>
    <rPh sb="3" eb="4">
      <t>ケイ</t>
    </rPh>
    <rPh sb="4" eb="6">
      <t>インサツ</t>
    </rPh>
    <phoneticPr fontId="2"/>
  </si>
  <si>
    <t>複写伝票</t>
    <rPh sb="0" eb="2">
      <t>フクシャ</t>
    </rPh>
    <rPh sb="2" eb="4">
      <t>デンピョウ</t>
    </rPh>
    <phoneticPr fontId="2"/>
  </si>
  <si>
    <t>地図（管内図）等</t>
    <rPh sb="0" eb="2">
      <t>チズ</t>
    </rPh>
    <rPh sb="3" eb="5">
      <t>カンナイ</t>
    </rPh>
    <rPh sb="5" eb="6">
      <t>ズ</t>
    </rPh>
    <rPh sb="7" eb="8">
      <t>トウ</t>
    </rPh>
    <phoneticPr fontId="2"/>
  </si>
  <si>
    <t>[軽・フォーム以外の印刷]</t>
    <rPh sb="1" eb="2">
      <t>ケイ</t>
    </rPh>
    <rPh sb="7" eb="9">
      <t>イガイ</t>
    </rPh>
    <rPh sb="10" eb="12">
      <t>インサツ</t>
    </rPh>
    <phoneticPr fontId="2"/>
  </si>
  <si>
    <t>カード・包装印刷</t>
    <rPh sb="4" eb="6">
      <t>ホウソウ</t>
    </rPh>
    <rPh sb="6" eb="8">
      <t>インサツ</t>
    </rPh>
    <phoneticPr fontId="2"/>
  </si>
  <si>
    <t>フォーム印刷</t>
    <rPh sb="4" eb="6">
      <t>インサツ</t>
    </rPh>
    <phoneticPr fontId="2"/>
  </si>
  <si>
    <t>圧着はがき</t>
    <rPh sb="0" eb="2">
      <t>アッチャク</t>
    </rPh>
    <phoneticPr fontId="2"/>
  </si>
  <si>
    <t>OCR用紙</t>
    <rPh sb="3" eb="5">
      <t>ヨウシ</t>
    </rPh>
    <phoneticPr fontId="2"/>
  </si>
  <si>
    <t>OMR用紙</t>
    <rPh sb="3" eb="5">
      <t>ヨウシ</t>
    </rPh>
    <phoneticPr fontId="2"/>
  </si>
  <si>
    <t>その他連続用紙</t>
    <rPh sb="2" eb="3">
      <t>タ</t>
    </rPh>
    <rPh sb="3" eb="5">
      <t>レンゾク</t>
    </rPh>
    <rPh sb="5" eb="7">
      <t>ヨウシ</t>
    </rPh>
    <phoneticPr fontId="2"/>
  </si>
  <si>
    <t>その他フォーム印刷</t>
    <rPh sb="2" eb="3">
      <t>タ</t>
    </rPh>
    <rPh sb="7" eb="9">
      <t>インサツ</t>
    </rPh>
    <phoneticPr fontId="2"/>
  </si>
  <si>
    <t>青写真</t>
    <rPh sb="0" eb="1">
      <t>アオ</t>
    </rPh>
    <rPh sb="1" eb="3">
      <t>シャシン</t>
    </rPh>
    <phoneticPr fontId="2"/>
  </si>
  <si>
    <t>焼付</t>
    <rPh sb="0" eb="2">
      <t>ヤキツ</t>
    </rPh>
    <phoneticPr fontId="2"/>
  </si>
  <si>
    <t>その他青写真</t>
    <rPh sb="2" eb="3">
      <t>タ</t>
    </rPh>
    <rPh sb="3" eb="4">
      <t>アオ</t>
    </rPh>
    <rPh sb="4" eb="6">
      <t>シャシン</t>
    </rPh>
    <phoneticPr fontId="2"/>
  </si>
  <si>
    <t>印章</t>
    <rPh sb="0" eb="2">
      <t>インショウ</t>
    </rPh>
    <phoneticPr fontId="2"/>
  </si>
  <si>
    <t>印鑑</t>
    <rPh sb="0" eb="2">
      <t>インカン</t>
    </rPh>
    <phoneticPr fontId="2"/>
  </si>
  <si>
    <t>ゴム印</t>
    <rPh sb="2" eb="3">
      <t>イン</t>
    </rPh>
    <phoneticPr fontId="2"/>
  </si>
  <si>
    <t>その他印章類</t>
    <rPh sb="2" eb="3">
      <t>タ</t>
    </rPh>
    <rPh sb="3" eb="5">
      <t>インショウ</t>
    </rPh>
    <rPh sb="5" eb="6">
      <t>ルイ</t>
    </rPh>
    <phoneticPr fontId="2"/>
  </si>
  <si>
    <t>電気・通信機器</t>
    <rPh sb="0" eb="2">
      <t>デンキ</t>
    </rPh>
    <rPh sb="3" eb="5">
      <t>ツウシン</t>
    </rPh>
    <rPh sb="5" eb="7">
      <t>キキ</t>
    </rPh>
    <phoneticPr fontId="2"/>
  </si>
  <si>
    <t>家庭用電化製品</t>
    <rPh sb="0" eb="2">
      <t>カテイ</t>
    </rPh>
    <rPh sb="2" eb="3">
      <t>ヨウ</t>
    </rPh>
    <rPh sb="3" eb="5">
      <t>デンカ</t>
    </rPh>
    <rPh sb="5" eb="7">
      <t>セイヒン</t>
    </rPh>
    <phoneticPr fontId="2"/>
  </si>
  <si>
    <t>ビデオ編集機器</t>
    <rPh sb="3" eb="5">
      <t>ヘンシュウ</t>
    </rPh>
    <rPh sb="5" eb="7">
      <t>キキ</t>
    </rPh>
    <phoneticPr fontId="2"/>
  </si>
  <si>
    <t>放送・視聴覚機器</t>
    <rPh sb="0" eb="2">
      <t>ホウソウ</t>
    </rPh>
    <rPh sb="3" eb="6">
      <t>シチョウカク</t>
    </rPh>
    <rPh sb="6" eb="8">
      <t>キキ</t>
    </rPh>
    <phoneticPr fontId="2"/>
  </si>
  <si>
    <t>電話関係機器</t>
    <rPh sb="0" eb="2">
      <t>デンワ</t>
    </rPh>
    <rPh sb="2" eb="4">
      <t>カンケイ</t>
    </rPh>
    <rPh sb="4" eb="6">
      <t>キキ</t>
    </rPh>
    <phoneticPr fontId="2"/>
  </si>
  <si>
    <t>無線関係機器</t>
    <rPh sb="0" eb="2">
      <t>ムセン</t>
    </rPh>
    <rPh sb="2" eb="4">
      <t>カンケイ</t>
    </rPh>
    <rPh sb="4" eb="6">
      <t>キキ</t>
    </rPh>
    <phoneticPr fontId="2"/>
  </si>
  <si>
    <t>監視カメラ</t>
    <rPh sb="0" eb="2">
      <t>カンシ</t>
    </rPh>
    <phoneticPr fontId="2"/>
  </si>
  <si>
    <t>警報装置</t>
    <rPh sb="0" eb="2">
      <t>ケイホウ</t>
    </rPh>
    <rPh sb="2" eb="4">
      <t>ソウチ</t>
    </rPh>
    <phoneticPr fontId="2"/>
  </si>
  <si>
    <t>照明機器</t>
    <rPh sb="0" eb="2">
      <t>ショウメイ</t>
    </rPh>
    <rPh sb="2" eb="4">
      <t>キキ</t>
    </rPh>
    <phoneticPr fontId="2"/>
  </si>
  <si>
    <t>その他電気・通信機器</t>
    <rPh sb="2" eb="3">
      <t>タ</t>
    </rPh>
    <rPh sb="3" eb="5">
      <t>デンキ</t>
    </rPh>
    <rPh sb="6" eb="8">
      <t>ツウシン</t>
    </rPh>
    <rPh sb="8" eb="10">
      <t>キキ</t>
    </rPh>
    <phoneticPr fontId="2"/>
  </si>
  <si>
    <t>医療機器</t>
    <rPh sb="0" eb="2">
      <t>イリョウ</t>
    </rPh>
    <rPh sb="2" eb="4">
      <t>キキ</t>
    </rPh>
    <phoneticPr fontId="2"/>
  </si>
  <si>
    <t>生体検査機器</t>
    <rPh sb="0" eb="2">
      <t>セイタイ</t>
    </rPh>
    <rPh sb="2" eb="4">
      <t>ケンサ</t>
    </rPh>
    <rPh sb="4" eb="6">
      <t>キキ</t>
    </rPh>
    <phoneticPr fontId="2"/>
  </si>
  <si>
    <t>検体検査機器</t>
    <rPh sb="0" eb="2">
      <t>ケンタイ</t>
    </rPh>
    <rPh sb="2" eb="4">
      <t>ケンサ</t>
    </rPh>
    <rPh sb="4" eb="6">
      <t>キキ</t>
    </rPh>
    <phoneticPr fontId="2"/>
  </si>
  <si>
    <t>治療用機器</t>
    <rPh sb="0" eb="2">
      <t>チリョウ</t>
    </rPh>
    <rPh sb="2" eb="3">
      <t>ヨウ</t>
    </rPh>
    <rPh sb="3" eb="5">
      <t>キキ</t>
    </rPh>
    <phoneticPr fontId="2"/>
  </si>
  <si>
    <t>放射線関連機器</t>
    <rPh sb="0" eb="3">
      <t>ホウシャセン</t>
    </rPh>
    <rPh sb="3" eb="5">
      <t>カンレン</t>
    </rPh>
    <rPh sb="5" eb="7">
      <t>キキ</t>
    </rPh>
    <phoneticPr fontId="2"/>
  </si>
  <si>
    <t>手術関連機器</t>
    <rPh sb="0" eb="2">
      <t>シュジュツ</t>
    </rPh>
    <rPh sb="2" eb="4">
      <t>カンレン</t>
    </rPh>
    <rPh sb="4" eb="6">
      <t>キキ</t>
    </rPh>
    <phoneticPr fontId="2"/>
  </si>
  <si>
    <t>調剤機器</t>
    <rPh sb="0" eb="2">
      <t>チョウザイ</t>
    </rPh>
    <rPh sb="2" eb="4">
      <t>キキ</t>
    </rPh>
    <phoneticPr fontId="2"/>
  </si>
  <si>
    <t>歯科用機器</t>
    <rPh sb="0" eb="2">
      <t>シカ</t>
    </rPh>
    <rPh sb="2" eb="3">
      <t>ヨウ</t>
    </rPh>
    <rPh sb="3" eb="5">
      <t>キキ</t>
    </rPh>
    <phoneticPr fontId="2"/>
  </si>
  <si>
    <t>その他医療機器</t>
    <rPh sb="2" eb="3">
      <t>タ</t>
    </rPh>
    <rPh sb="3" eb="5">
      <t>イリョウ</t>
    </rPh>
    <rPh sb="5" eb="7">
      <t>キキ</t>
    </rPh>
    <phoneticPr fontId="2"/>
  </si>
  <si>
    <t>理化学機器</t>
    <rPh sb="0" eb="3">
      <t>リカガク</t>
    </rPh>
    <rPh sb="3" eb="5">
      <t>キキ</t>
    </rPh>
    <phoneticPr fontId="2"/>
  </si>
  <si>
    <t>分析機器（光）</t>
    <rPh sb="0" eb="2">
      <t>ブンセキ</t>
    </rPh>
    <rPh sb="2" eb="4">
      <t>キキ</t>
    </rPh>
    <rPh sb="5" eb="6">
      <t>ヒカリ</t>
    </rPh>
    <phoneticPr fontId="2"/>
  </si>
  <si>
    <t>分析機器（その他）</t>
    <rPh sb="0" eb="2">
      <t>ブンセキ</t>
    </rPh>
    <rPh sb="2" eb="4">
      <t>キキ</t>
    </rPh>
    <rPh sb="7" eb="8">
      <t>タ</t>
    </rPh>
    <phoneticPr fontId="2"/>
  </si>
  <si>
    <t>電子顕微鏡</t>
    <rPh sb="0" eb="2">
      <t>デンシ</t>
    </rPh>
    <rPh sb="2" eb="5">
      <t>ケンビキョウ</t>
    </rPh>
    <phoneticPr fontId="2"/>
  </si>
  <si>
    <t>光学顕微鏡</t>
    <rPh sb="0" eb="2">
      <t>コウガク</t>
    </rPh>
    <rPh sb="2" eb="5">
      <t>ケンビキョウ</t>
    </rPh>
    <phoneticPr fontId="2"/>
  </si>
  <si>
    <t>レーザー顕微鏡</t>
    <rPh sb="4" eb="7">
      <t>ケンビキョウ</t>
    </rPh>
    <phoneticPr fontId="2"/>
  </si>
  <si>
    <t>工業用ファイバースコープ</t>
    <rPh sb="0" eb="3">
      <t>コウギョウヨウ</t>
    </rPh>
    <phoneticPr fontId="2"/>
  </si>
  <si>
    <t>実験機器</t>
    <rPh sb="0" eb="2">
      <t>ジッケン</t>
    </rPh>
    <rPh sb="2" eb="4">
      <t>キキ</t>
    </rPh>
    <phoneticPr fontId="2"/>
  </si>
  <si>
    <t>その他理化学機器</t>
    <rPh sb="2" eb="3">
      <t>タ</t>
    </rPh>
    <rPh sb="3" eb="6">
      <t>リカガク</t>
    </rPh>
    <rPh sb="6" eb="8">
      <t>キキ</t>
    </rPh>
    <phoneticPr fontId="2"/>
  </si>
  <si>
    <t>計測機器</t>
    <rPh sb="0" eb="2">
      <t>ケイソク</t>
    </rPh>
    <rPh sb="2" eb="4">
      <t>キキ</t>
    </rPh>
    <phoneticPr fontId="2"/>
  </si>
  <si>
    <t>気象用計測機器</t>
    <rPh sb="0" eb="3">
      <t>キショウヨウ</t>
    </rPh>
    <rPh sb="3" eb="5">
      <t>ケイソク</t>
    </rPh>
    <rPh sb="5" eb="7">
      <t>キキ</t>
    </rPh>
    <phoneticPr fontId="2"/>
  </si>
  <si>
    <t>測量用計測機器</t>
    <rPh sb="0" eb="3">
      <t>ソクリョウヨウ</t>
    </rPh>
    <rPh sb="3" eb="5">
      <t>ケイソク</t>
    </rPh>
    <rPh sb="5" eb="7">
      <t>キキ</t>
    </rPh>
    <phoneticPr fontId="2"/>
  </si>
  <si>
    <t>大気測定機器</t>
    <rPh sb="0" eb="2">
      <t>タイキ</t>
    </rPh>
    <rPh sb="2" eb="4">
      <t>ソクテイ</t>
    </rPh>
    <rPh sb="4" eb="6">
      <t>キキ</t>
    </rPh>
    <phoneticPr fontId="2"/>
  </si>
  <si>
    <t>水質測定機器</t>
    <rPh sb="0" eb="2">
      <t>スイシツ</t>
    </rPh>
    <rPh sb="2" eb="4">
      <t>ソクテイ</t>
    </rPh>
    <rPh sb="4" eb="6">
      <t>キキ</t>
    </rPh>
    <phoneticPr fontId="2"/>
  </si>
  <si>
    <t>振動・音響測定機器</t>
    <rPh sb="0" eb="2">
      <t>シンドウ</t>
    </rPh>
    <rPh sb="3" eb="5">
      <t>オンキョウ</t>
    </rPh>
    <rPh sb="5" eb="7">
      <t>ソクテイ</t>
    </rPh>
    <rPh sb="7" eb="9">
      <t>キキ</t>
    </rPh>
    <phoneticPr fontId="2"/>
  </si>
  <si>
    <t>放射線測定機器</t>
    <rPh sb="0" eb="3">
      <t>ホウシャセン</t>
    </rPh>
    <rPh sb="3" eb="5">
      <t>ソクテイ</t>
    </rPh>
    <rPh sb="5" eb="7">
      <t>キキ</t>
    </rPh>
    <phoneticPr fontId="2"/>
  </si>
  <si>
    <t>電気・磁気測定機器</t>
    <rPh sb="0" eb="2">
      <t>デンキ</t>
    </rPh>
    <rPh sb="3" eb="5">
      <t>ジキ</t>
    </rPh>
    <rPh sb="5" eb="7">
      <t>ソクテイ</t>
    </rPh>
    <rPh sb="7" eb="9">
      <t>キキ</t>
    </rPh>
    <phoneticPr fontId="2"/>
  </si>
  <si>
    <t>速度測定機器</t>
    <rPh sb="0" eb="2">
      <t>ソクド</t>
    </rPh>
    <rPh sb="2" eb="4">
      <t>ソクテイ</t>
    </rPh>
    <rPh sb="4" eb="6">
      <t>キキ</t>
    </rPh>
    <phoneticPr fontId="2"/>
  </si>
  <si>
    <t>超音波測定機器</t>
    <rPh sb="0" eb="3">
      <t>チョウオンパ</t>
    </rPh>
    <rPh sb="3" eb="5">
      <t>ソクテイ</t>
    </rPh>
    <rPh sb="5" eb="7">
      <t>キキ</t>
    </rPh>
    <phoneticPr fontId="2"/>
  </si>
  <si>
    <t>その他測定機器</t>
    <rPh sb="2" eb="3">
      <t>タ</t>
    </rPh>
    <rPh sb="3" eb="5">
      <t>ソクテイ</t>
    </rPh>
    <rPh sb="5" eb="7">
      <t>キキ</t>
    </rPh>
    <phoneticPr fontId="2"/>
  </si>
  <si>
    <t>光学写真機</t>
    <rPh sb="0" eb="2">
      <t>コウガク</t>
    </rPh>
    <rPh sb="2" eb="5">
      <t>シャシンキ</t>
    </rPh>
    <phoneticPr fontId="2"/>
  </si>
  <si>
    <t>デジタル写真機</t>
    <rPh sb="4" eb="7">
      <t>シャシンキ</t>
    </rPh>
    <phoneticPr fontId="2"/>
  </si>
  <si>
    <t>写真現像・プリント機器</t>
    <rPh sb="0" eb="2">
      <t>シャシン</t>
    </rPh>
    <rPh sb="2" eb="4">
      <t>ゲンゾウ</t>
    </rPh>
    <rPh sb="9" eb="11">
      <t>キキ</t>
    </rPh>
    <phoneticPr fontId="2"/>
  </si>
  <si>
    <t>撮影機</t>
    <rPh sb="0" eb="3">
      <t>サツエイキ</t>
    </rPh>
    <phoneticPr fontId="2"/>
  </si>
  <si>
    <t>写真フィルム</t>
    <rPh sb="0" eb="2">
      <t>シャシン</t>
    </rPh>
    <phoneticPr fontId="2"/>
  </si>
  <si>
    <t>その他写真機器</t>
    <rPh sb="2" eb="3">
      <t>タ</t>
    </rPh>
    <rPh sb="3" eb="5">
      <t>シャシン</t>
    </rPh>
    <rPh sb="5" eb="7">
      <t>キキ</t>
    </rPh>
    <phoneticPr fontId="2"/>
  </si>
  <si>
    <t>厨房機器</t>
    <rPh sb="0" eb="2">
      <t>チュウボウ</t>
    </rPh>
    <rPh sb="2" eb="4">
      <t>キキ</t>
    </rPh>
    <phoneticPr fontId="2"/>
  </si>
  <si>
    <t>厨房用調理器</t>
    <rPh sb="0" eb="2">
      <t>チュウボウ</t>
    </rPh>
    <rPh sb="2" eb="3">
      <t>ヨウ</t>
    </rPh>
    <rPh sb="3" eb="6">
      <t>チョウリキ</t>
    </rPh>
    <phoneticPr fontId="2"/>
  </si>
  <si>
    <t>調理（実習）台</t>
    <rPh sb="0" eb="2">
      <t>チョウリ</t>
    </rPh>
    <rPh sb="3" eb="5">
      <t>ジッシュウ</t>
    </rPh>
    <rPh sb="6" eb="7">
      <t>ダイ</t>
    </rPh>
    <phoneticPr fontId="2"/>
  </si>
  <si>
    <t>厨房用洗浄機器</t>
    <rPh sb="0" eb="2">
      <t>チュウボウ</t>
    </rPh>
    <rPh sb="2" eb="3">
      <t>ヨウ</t>
    </rPh>
    <rPh sb="3" eb="5">
      <t>センジョウ</t>
    </rPh>
    <rPh sb="5" eb="7">
      <t>キキ</t>
    </rPh>
    <phoneticPr fontId="2"/>
  </si>
  <si>
    <t>厨房用消毒機器</t>
    <rPh sb="0" eb="2">
      <t>チュウボウ</t>
    </rPh>
    <rPh sb="2" eb="3">
      <t>ヨウ</t>
    </rPh>
    <rPh sb="3" eb="5">
      <t>ショウドク</t>
    </rPh>
    <rPh sb="5" eb="7">
      <t>キキ</t>
    </rPh>
    <phoneticPr fontId="2"/>
  </si>
  <si>
    <t>厨房用冷凍・冷蔵機器</t>
    <rPh sb="0" eb="2">
      <t>チュウボウ</t>
    </rPh>
    <rPh sb="2" eb="3">
      <t>ヨウ</t>
    </rPh>
    <rPh sb="3" eb="5">
      <t>レイトウ</t>
    </rPh>
    <rPh sb="6" eb="8">
      <t>レイゾウ</t>
    </rPh>
    <rPh sb="8" eb="10">
      <t>キキ</t>
    </rPh>
    <phoneticPr fontId="2"/>
  </si>
  <si>
    <t>厨房用給湯機器</t>
    <rPh sb="0" eb="2">
      <t>チュウボウ</t>
    </rPh>
    <rPh sb="2" eb="3">
      <t>ヨウ</t>
    </rPh>
    <rPh sb="3" eb="5">
      <t>キュウトウ</t>
    </rPh>
    <rPh sb="5" eb="7">
      <t>キキ</t>
    </rPh>
    <phoneticPr fontId="2"/>
  </si>
  <si>
    <t>その他厨房機器</t>
    <rPh sb="2" eb="3">
      <t>タ</t>
    </rPh>
    <rPh sb="3" eb="5">
      <t>チュウボウ</t>
    </rPh>
    <rPh sb="5" eb="7">
      <t>キキ</t>
    </rPh>
    <phoneticPr fontId="2"/>
  </si>
  <si>
    <t>建設機械・機器</t>
    <rPh sb="0" eb="2">
      <t>ケンセツ</t>
    </rPh>
    <rPh sb="2" eb="4">
      <t>キカイ</t>
    </rPh>
    <rPh sb="5" eb="7">
      <t>キキ</t>
    </rPh>
    <phoneticPr fontId="2"/>
  </si>
  <si>
    <t>除雪トラック</t>
    <rPh sb="0" eb="2">
      <t>ジョセツ</t>
    </rPh>
    <phoneticPr fontId="2"/>
  </si>
  <si>
    <t>凍結防止剤散布車</t>
    <rPh sb="0" eb="2">
      <t>トウケツ</t>
    </rPh>
    <rPh sb="2" eb="5">
      <t>ボウシザイ</t>
    </rPh>
    <rPh sb="5" eb="7">
      <t>サンプ</t>
    </rPh>
    <rPh sb="7" eb="8">
      <t>シャ</t>
    </rPh>
    <phoneticPr fontId="2"/>
  </si>
  <si>
    <t>凍結防止剤薬液供給装置等</t>
    <rPh sb="0" eb="2">
      <t>トウケツ</t>
    </rPh>
    <rPh sb="2" eb="5">
      <t>ボウシザイ</t>
    </rPh>
    <rPh sb="5" eb="7">
      <t>ヤクエキ</t>
    </rPh>
    <rPh sb="7" eb="9">
      <t>キョウキュウ</t>
    </rPh>
    <rPh sb="9" eb="11">
      <t>ソウチ</t>
    </rPh>
    <rPh sb="11" eb="12">
      <t>トウ</t>
    </rPh>
    <phoneticPr fontId="2"/>
  </si>
  <si>
    <t>その他機械付属品</t>
    <rPh sb="2" eb="3">
      <t>タ</t>
    </rPh>
    <rPh sb="3" eb="5">
      <t>キカイ</t>
    </rPh>
    <rPh sb="5" eb="7">
      <t>フゾク</t>
    </rPh>
    <rPh sb="7" eb="8">
      <t>ヒン</t>
    </rPh>
    <phoneticPr fontId="2"/>
  </si>
  <si>
    <t>その他建設機械</t>
    <rPh sb="2" eb="3">
      <t>タ</t>
    </rPh>
    <rPh sb="3" eb="5">
      <t>ケンセツ</t>
    </rPh>
    <rPh sb="5" eb="7">
      <t>キカイ</t>
    </rPh>
    <phoneticPr fontId="2"/>
  </si>
  <si>
    <t>農業・畜産・水産機器</t>
    <rPh sb="0" eb="2">
      <t>ノウギョウ</t>
    </rPh>
    <rPh sb="3" eb="5">
      <t>チクサン</t>
    </rPh>
    <rPh sb="6" eb="8">
      <t>スイサン</t>
    </rPh>
    <rPh sb="8" eb="10">
      <t>キキ</t>
    </rPh>
    <phoneticPr fontId="2"/>
  </si>
  <si>
    <t>種子調整機器</t>
    <rPh sb="0" eb="2">
      <t>シュシ</t>
    </rPh>
    <rPh sb="2" eb="4">
      <t>チョウセイ</t>
    </rPh>
    <rPh sb="4" eb="6">
      <t>キキ</t>
    </rPh>
    <phoneticPr fontId="2"/>
  </si>
  <si>
    <t>漁網</t>
    <rPh sb="0" eb="2">
      <t>ギョモウ</t>
    </rPh>
    <phoneticPr fontId="2"/>
  </si>
  <si>
    <t>その他農畜水産機器</t>
    <rPh sb="2" eb="3">
      <t>タ</t>
    </rPh>
    <rPh sb="3" eb="5">
      <t>ノウチク</t>
    </rPh>
    <rPh sb="5" eb="7">
      <t>スイサン</t>
    </rPh>
    <rPh sb="7" eb="9">
      <t>キキ</t>
    </rPh>
    <phoneticPr fontId="2"/>
  </si>
  <si>
    <t>工作機器</t>
    <rPh sb="0" eb="2">
      <t>コウサク</t>
    </rPh>
    <rPh sb="2" eb="4">
      <t>キキ</t>
    </rPh>
    <phoneticPr fontId="2"/>
  </si>
  <si>
    <t>旋盤</t>
    <rPh sb="0" eb="2">
      <t>センバン</t>
    </rPh>
    <phoneticPr fontId="2"/>
  </si>
  <si>
    <t>ＮＣ旋盤</t>
    <rPh sb="2" eb="4">
      <t>センバン</t>
    </rPh>
    <phoneticPr fontId="2"/>
  </si>
  <si>
    <t>フライス盤</t>
    <rPh sb="4" eb="5">
      <t>バン</t>
    </rPh>
    <phoneticPr fontId="2"/>
  </si>
  <si>
    <t>研削機</t>
    <rPh sb="0" eb="2">
      <t>ケンサク</t>
    </rPh>
    <rPh sb="2" eb="3">
      <t>キ</t>
    </rPh>
    <phoneticPr fontId="2"/>
  </si>
  <si>
    <t>ボール盤</t>
    <rPh sb="3" eb="4">
      <t>バン</t>
    </rPh>
    <phoneticPr fontId="2"/>
  </si>
  <si>
    <t>切断機</t>
    <rPh sb="0" eb="3">
      <t>セツダンキ</t>
    </rPh>
    <phoneticPr fontId="2"/>
  </si>
  <si>
    <t>作業工具</t>
    <rPh sb="0" eb="2">
      <t>サギョウ</t>
    </rPh>
    <rPh sb="2" eb="4">
      <t>コウグ</t>
    </rPh>
    <phoneticPr fontId="2"/>
  </si>
  <si>
    <t>その他工作機器</t>
    <rPh sb="2" eb="3">
      <t>タ</t>
    </rPh>
    <rPh sb="3" eb="5">
      <t>コウサク</t>
    </rPh>
    <rPh sb="5" eb="7">
      <t>キキ</t>
    </rPh>
    <phoneticPr fontId="2"/>
  </si>
  <si>
    <t>冷暖房・空調機器</t>
    <rPh sb="0" eb="3">
      <t>レイダンボウ</t>
    </rPh>
    <rPh sb="4" eb="6">
      <t>クウチョウ</t>
    </rPh>
    <rPh sb="6" eb="8">
      <t>キキ</t>
    </rPh>
    <phoneticPr fontId="2"/>
  </si>
  <si>
    <t>ポット式ストーブ</t>
    <rPh sb="3" eb="4">
      <t>シキ</t>
    </rPh>
    <phoneticPr fontId="2"/>
  </si>
  <si>
    <t>その他冷暖房空調機器</t>
    <rPh sb="2" eb="3">
      <t>タ</t>
    </rPh>
    <rPh sb="3" eb="6">
      <t>レイダンボウ</t>
    </rPh>
    <rPh sb="6" eb="8">
      <t>クウチョウ</t>
    </rPh>
    <rPh sb="8" eb="10">
      <t>キキ</t>
    </rPh>
    <phoneticPr fontId="2"/>
  </si>
  <si>
    <t>その他産業・業務用機器</t>
    <rPh sb="2" eb="3">
      <t>タ</t>
    </rPh>
    <rPh sb="3" eb="5">
      <t>サンギョウ</t>
    </rPh>
    <rPh sb="6" eb="9">
      <t>ギョウムヨウ</t>
    </rPh>
    <rPh sb="9" eb="11">
      <t>キキ</t>
    </rPh>
    <phoneticPr fontId="2"/>
  </si>
  <si>
    <t>繊維・染色用機器</t>
    <rPh sb="0" eb="2">
      <t>センイ</t>
    </rPh>
    <rPh sb="3" eb="6">
      <t>センショクヨウ</t>
    </rPh>
    <rPh sb="6" eb="8">
      <t>キキ</t>
    </rPh>
    <phoneticPr fontId="2"/>
  </si>
  <si>
    <t>発券機</t>
    <rPh sb="0" eb="3">
      <t>ハッケンキ</t>
    </rPh>
    <phoneticPr fontId="2"/>
  </si>
  <si>
    <t>（事務機・家電を除く）</t>
    <rPh sb="1" eb="4">
      <t>ジムキ</t>
    </rPh>
    <rPh sb="5" eb="7">
      <t>カデン</t>
    </rPh>
    <rPh sb="8" eb="9">
      <t>ノゾ</t>
    </rPh>
    <phoneticPr fontId="2"/>
  </si>
  <si>
    <t>冷凍・冷蔵機器</t>
    <rPh sb="0" eb="2">
      <t>レイトウ</t>
    </rPh>
    <rPh sb="3" eb="5">
      <t>レイゾウ</t>
    </rPh>
    <rPh sb="5" eb="7">
      <t>キキ</t>
    </rPh>
    <phoneticPr fontId="2"/>
  </si>
  <si>
    <t>高所作業車</t>
    <rPh sb="0" eb="2">
      <t>コウショ</t>
    </rPh>
    <rPh sb="2" eb="5">
      <t>サギョウシャ</t>
    </rPh>
    <phoneticPr fontId="2"/>
  </si>
  <si>
    <t>印刷・製本機器</t>
    <rPh sb="0" eb="2">
      <t>インサツ</t>
    </rPh>
    <rPh sb="3" eb="5">
      <t>セイホン</t>
    </rPh>
    <rPh sb="5" eb="7">
      <t>キキ</t>
    </rPh>
    <phoneticPr fontId="2"/>
  </si>
  <si>
    <t>薬品・肥飼料・資材類</t>
    <rPh sb="0" eb="2">
      <t>ヤクヒン</t>
    </rPh>
    <rPh sb="3" eb="4">
      <t>コエ</t>
    </rPh>
    <rPh sb="4" eb="6">
      <t>シリョウ</t>
    </rPh>
    <rPh sb="7" eb="9">
      <t>シザイ</t>
    </rPh>
    <rPh sb="9" eb="10">
      <t>ルイ</t>
    </rPh>
    <phoneticPr fontId="2"/>
  </si>
  <si>
    <t>医薬品・診療材料類</t>
    <rPh sb="0" eb="3">
      <t>イヤクヒン</t>
    </rPh>
    <rPh sb="4" eb="6">
      <t>シンリョウ</t>
    </rPh>
    <rPh sb="6" eb="8">
      <t>ザイリョウ</t>
    </rPh>
    <rPh sb="8" eb="9">
      <t>ルイ</t>
    </rPh>
    <phoneticPr fontId="2"/>
  </si>
  <si>
    <t>医薬品（人体）</t>
    <rPh sb="0" eb="3">
      <t>イヤクヒン</t>
    </rPh>
    <rPh sb="4" eb="6">
      <t>ジンタイ</t>
    </rPh>
    <phoneticPr fontId="2"/>
  </si>
  <si>
    <t>医薬品（動物）</t>
    <rPh sb="0" eb="3">
      <t>イヤクヒン</t>
    </rPh>
    <rPh sb="4" eb="6">
      <t>ドウブツ</t>
    </rPh>
    <phoneticPr fontId="2"/>
  </si>
  <si>
    <t>医療用酸素・ガス</t>
    <rPh sb="0" eb="3">
      <t>イリョウヨウ</t>
    </rPh>
    <rPh sb="3" eb="5">
      <t>サンソ</t>
    </rPh>
    <phoneticPr fontId="2"/>
  </si>
  <si>
    <t>診療材料</t>
    <rPh sb="0" eb="2">
      <t>シンリョウ</t>
    </rPh>
    <rPh sb="2" eb="4">
      <t>ザイリョウ</t>
    </rPh>
    <phoneticPr fontId="2"/>
  </si>
  <si>
    <t>培地</t>
    <rPh sb="0" eb="2">
      <t>バイチ</t>
    </rPh>
    <phoneticPr fontId="2"/>
  </si>
  <si>
    <t>医療検査試薬</t>
    <rPh sb="0" eb="2">
      <t>イリョウ</t>
    </rPh>
    <rPh sb="2" eb="4">
      <t>ケンサ</t>
    </rPh>
    <rPh sb="4" eb="6">
      <t>シヤク</t>
    </rPh>
    <phoneticPr fontId="2"/>
  </si>
  <si>
    <t>Ｘ線フィルム</t>
    <rPh sb="1" eb="2">
      <t>セン</t>
    </rPh>
    <phoneticPr fontId="2"/>
  </si>
  <si>
    <t>衛生用品</t>
    <rPh sb="0" eb="2">
      <t>エイセイ</t>
    </rPh>
    <rPh sb="2" eb="4">
      <t>ヨウヒン</t>
    </rPh>
    <phoneticPr fontId="2"/>
  </si>
  <si>
    <t>介護用品</t>
    <rPh sb="0" eb="2">
      <t>カイゴ</t>
    </rPh>
    <rPh sb="2" eb="4">
      <t>ヨウヒン</t>
    </rPh>
    <phoneticPr fontId="2"/>
  </si>
  <si>
    <t>その他薬品・診療材料</t>
    <rPh sb="2" eb="3">
      <t>タ</t>
    </rPh>
    <rPh sb="3" eb="5">
      <t>ヤクヒン</t>
    </rPh>
    <rPh sb="6" eb="8">
      <t>シンリョウ</t>
    </rPh>
    <rPh sb="8" eb="10">
      <t>ザイリョウ</t>
    </rPh>
    <phoneticPr fontId="2"/>
  </si>
  <si>
    <t>農薬</t>
    <rPh sb="0" eb="2">
      <t>ノウヤク</t>
    </rPh>
    <phoneticPr fontId="2"/>
  </si>
  <si>
    <t>除草剤</t>
    <rPh sb="0" eb="3">
      <t>ジョソウザイ</t>
    </rPh>
    <phoneticPr fontId="2"/>
  </si>
  <si>
    <t>肥料</t>
    <rPh sb="0" eb="2">
      <t>ヒリョウ</t>
    </rPh>
    <phoneticPr fontId="2"/>
  </si>
  <si>
    <t>飼料</t>
    <rPh sb="0" eb="2">
      <t>シリョウ</t>
    </rPh>
    <phoneticPr fontId="2"/>
  </si>
  <si>
    <t>農業用消耗資材</t>
    <rPh sb="0" eb="2">
      <t>ノウギョウ</t>
    </rPh>
    <rPh sb="2" eb="3">
      <t>ヨウ</t>
    </rPh>
    <rPh sb="3" eb="5">
      <t>ショウモウ</t>
    </rPh>
    <rPh sb="5" eb="7">
      <t>シザイ</t>
    </rPh>
    <phoneticPr fontId="2"/>
  </si>
  <si>
    <t>種苗</t>
    <rPh sb="0" eb="2">
      <t>シュビョウ</t>
    </rPh>
    <phoneticPr fontId="2"/>
  </si>
  <si>
    <t>その他農業用品</t>
    <rPh sb="2" eb="3">
      <t>タ</t>
    </rPh>
    <rPh sb="3" eb="5">
      <t>ノウギョウ</t>
    </rPh>
    <rPh sb="5" eb="7">
      <t>ヨウヒン</t>
    </rPh>
    <phoneticPr fontId="2"/>
  </si>
  <si>
    <t>実験・分析用化学薬品</t>
    <rPh sb="0" eb="2">
      <t>ジッケン</t>
    </rPh>
    <rPh sb="3" eb="5">
      <t>ブンセキ</t>
    </rPh>
    <rPh sb="5" eb="6">
      <t>ヨウ</t>
    </rPh>
    <rPh sb="6" eb="8">
      <t>カガク</t>
    </rPh>
    <rPh sb="8" eb="10">
      <t>ヤクヒン</t>
    </rPh>
    <phoneticPr fontId="2"/>
  </si>
  <si>
    <t>施設・機械用化学薬品</t>
    <rPh sb="0" eb="2">
      <t>シセツ</t>
    </rPh>
    <rPh sb="3" eb="5">
      <t>キカイ</t>
    </rPh>
    <rPh sb="5" eb="6">
      <t>ヨウ</t>
    </rPh>
    <rPh sb="6" eb="8">
      <t>カガク</t>
    </rPh>
    <rPh sb="8" eb="10">
      <t>ヤクヒン</t>
    </rPh>
    <phoneticPr fontId="2"/>
  </si>
  <si>
    <t>防じん剤</t>
    <rPh sb="0" eb="1">
      <t>ボウ</t>
    </rPh>
    <rPh sb="3" eb="4">
      <t>ザイ</t>
    </rPh>
    <phoneticPr fontId="2"/>
  </si>
  <si>
    <t>道路凍結防止剤</t>
    <rPh sb="0" eb="2">
      <t>ドウロ</t>
    </rPh>
    <rPh sb="2" eb="4">
      <t>トウケツ</t>
    </rPh>
    <rPh sb="4" eb="7">
      <t>ボウシザイ</t>
    </rPh>
    <phoneticPr fontId="2"/>
  </si>
  <si>
    <t>その他工業薬品等</t>
    <rPh sb="2" eb="3">
      <t>タ</t>
    </rPh>
    <rPh sb="3" eb="5">
      <t>コウギョウ</t>
    </rPh>
    <rPh sb="5" eb="7">
      <t>ヤクヒン</t>
    </rPh>
    <rPh sb="7" eb="8">
      <t>トウ</t>
    </rPh>
    <phoneticPr fontId="2"/>
  </si>
  <si>
    <t>車両</t>
    <rPh sb="0" eb="2">
      <t>シャリョウ</t>
    </rPh>
    <phoneticPr fontId="2"/>
  </si>
  <si>
    <t>乗用車・ライトバン</t>
    <rPh sb="0" eb="3">
      <t>ジョウヨウシャ</t>
    </rPh>
    <phoneticPr fontId="2"/>
  </si>
  <si>
    <t>軽自動車</t>
    <rPh sb="0" eb="1">
      <t>ケイ</t>
    </rPh>
    <rPh sb="1" eb="4">
      <t>ジドウシャ</t>
    </rPh>
    <phoneticPr fontId="2"/>
  </si>
  <si>
    <t>警察架装車両</t>
    <rPh sb="0" eb="2">
      <t>ケイサツ</t>
    </rPh>
    <rPh sb="2" eb="3">
      <t>カ</t>
    </rPh>
    <rPh sb="3" eb="4">
      <t>ソウ</t>
    </rPh>
    <rPh sb="4" eb="6">
      <t>シャリョウ</t>
    </rPh>
    <phoneticPr fontId="2"/>
  </si>
  <si>
    <t>消防車・救急車</t>
    <rPh sb="0" eb="3">
      <t>ショウボウシャ</t>
    </rPh>
    <rPh sb="4" eb="7">
      <t>キュウキュウシャ</t>
    </rPh>
    <phoneticPr fontId="2"/>
  </si>
  <si>
    <t>その他架装車両</t>
    <rPh sb="2" eb="3">
      <t>タ</t>
    </rPh>
    <rPh sb="3" eb="4">
      <t>カ</t>
    </rPh>
    <rPh sb="4" eb="5">
      <t>ソウ</t>
    </rPh>
    <rPh sb="5" eb="7">
      <t>シャリョウ</t>
    </rPh>
    <phoneticPr fontId="2"/>
  </si>
  <si>
    <t>白バイ</t>
    <rPh sb="0" eb="1">
      <t>シロ</t>
    </rPh>
    <phoneticPr fontId="2"/>
  </si>
  <si>
    <t>自動二輪・原付</t>
    <rPh sb="0" eb="2">
      <t>ジドウ</t>
    </rPh>
    <rPh sb="2" eb="4">
      <t>ニリン</t>
    </rPh>
    <rPh sb="5" eb="7">
      <t>ゲンツキ</t>
    </rPh>
    <phoneticPr fontId="2"/>
  </si>
  <si>
    <t>自転車</t>
    <rPh sb="0" eb="3">
      <t>ジテンシャ</t>
    </rPh>
    <phoneticPr fontId="2"/>
  </si>
  <si>
    <t>その他車両</t>
    <rPh sb="2" eb="3">
      <t>タ</t>
    </rPh>
    <rPh sb="3" eb="5">
      <t>シャリョウ</t>
    </rPh>
    <phoneticPr fontId="2"/>
  </si>
  <si>
    <t>船舶</t>
    <rPh sb="0" eb="2">
      <t>センパク</t>
    </rPh>
    <phoneticPr fontId="2"/>
  </si>
  <si>
    <t>小型船舶</t>
    <rPh sb="0" eb="2">
      <t>コガタ</t>
    </rPh>
    <rPh sb="2" eb="4">
      <t>センパク</t>
    </rPh>
    <phoneticPr fontId="2"/>
  </si>
  <si>
    <t>競技用ボート</t>
    <rPh sb="0" eb="3">
      <t>キョウギヨウ</t>
    </rPh>
    <phoneticPr fontId="2"/>
  </si>
  <si>
    <t>救命用ゴムボート</t>
    <rPh sb="0" eb="2">
      <t>キュウメイ</t>
    </rPh>
    <rPh sb="2" eb="3">
      <t>ヨウ</t>
    </rPh>
    <phoneticPr fontId="2"/>
  </si>
  <si>
    <t>その他船舶</t>
    <rPh sb="2" eb="3">
      <t>タ</t>
    </rPh>
    <rPh sb="3" eb="5">
      <t>センパク</t>
    </rPh>
    <phoneticPr fontId="2"/>
  </si>
  <si>
    <t>車両タイヤ</t>
    <rPh sb="0" eb="2">
      <t>シャリョウ</t>
    </rPh>
    <phoneticPr fontId="2"/>
  </si>
  <si>
    <t>車両部品・電装品</t>
    <rPh sb="0" eb="2">
      <t>シャリョウ</t>
    </rPh>
    <rPh sb="2" eb="4">
      <t>ブヒン</t>
    </rPh>
    <rPh sb="5" eb="7">
      <t>デンソウ</t>
    </rPh>
    <rPh sb="7" eb="8">
      <t>シナ</t>
    </rPh>
    <phoneticPr fontId="2"/>
  </si>
  <si>
    <t>船外機</t>
    <rPh sb="0" eb="3">
      <t>センガイキ</t>
    </rPh>
    <phoneticPr fontId="2"/>
  </si>
  <si>
    <t>船舶装備品</t>
    <rPh sb="0" eb="2">
      <t>センパク</t>
    </rPh>
    <rPh sb="2" eb="5">
      <t>ソウビヒン</t>
    </rPh>
    <phoneticPr fontId="2"/>
  </si>
  <si>
    <t>その他車両・船舶装備品</t>
    <rPh sb="2" eb="3">
      <t>タ</t>
    </rPh>
    <rPh sb="3" eb="5">
      <t>シャリョウ</t>
    </rPh>
    <rPh sb="6" eb="8">
      <t>センパク</t>
    </rPh>
    <rPh sb="8" eb="11">
      <t>ソウビヒン</t>
    </rPh>
    <phoneticPr fontId="2"/>
  </si>
  <si>
    <t>軽油</t>
    <rPh sb="0" eb="2">
      <t>ケイユ</t>
    </rPh>
    <phoneticPr fontId="2"/>
  </si>
  <si>
    <t>重油</t>
    <rPh sb="0" eb="2">
      <t>ジュウユ</t>
    </rPh>
    <phoneticPr fontId="2"/>
  </si>
  <si>
    <t>灯油</t>
    <rPh sb="0" eb="2">
      <t>トウユ</t>
    </rPh>
    <phoneticPr fontId="2"/>
  </si>
  <si>
    <t>船舶燃料（バージ）</t>
    <rPh sb="0" eb="2">
      <t>センパク</t>
    </rPh>
    <rPh sb="2" eb="4">
      <t>ネンリョウ</t>
    </rPh>
    <phoneticPr fontId="2"/>
  </si>
  <si>
    <t>航空燃料</t>
    <rPh sb="0" eb="2">
      <t>コウクウ</t>
    </rPh>
    <rPh sb="2" eb="4">
      <t>ネンリョウ</t>
    </rPh>
    <phoneticPr fontId="2"/>
  </si>
  <si>
    <t>潤滑油</t>
    <rPh sb="0" eb="3">
      <t>ジュンカツユ</t>
    </rPh>
    <phoneticPr fontId="2"/>
  </si>
  <si>
    <t>その他燃料・油脂</t>
    <rPh sb="2" eb="3">
      <t>タ</t>
    </rPh>
    <rPh sb="3" eb="5">
      <t>ネンリョウ</t>
    </rPh>
    <rPh sb="6" eb="8">
      <t>ユシ</t>
    </rPh>
    <phoneticPr fontId="2"/>
  </si>
  <si>
    <t>工事用材料類</t>
    <rPh sb="0" eb="3">
      <t>コウジヨウ</t>
    </rPh>
    <rPh sb="3" eb="5">
      <t>ザイリョウ</t>
    </rPh>
    <rPh sb="5" eb="6">
      <t>ルイ</t>
    </rPh>
    <phoneticPr fontId="2"/>
  </si>
  <si>
    <t>鉄鋼、非鉄、鋳鉄類</t>
    <rPh sb="0" eb="2">
      <t>テッコウ</t>
    </rPh>
    <rPh sb="3" eb="5">
      <t>ヒテツ</t>
    </rPh>
    <rPh sb="6" eb="8">
      <t>チュウテツ</t>
    </rPh>
    <rPh sb="8" eb="9">
      <t>ルイ</t>
    </rPh>
    <phoneticPr fontId="2"/>
  </si>
  <si>
    <t>鋼材</t>
    <rPh sb="0" eb="2">
      <t>コウザイ</t>
    </rPh>
    <phoneticPr fontId="2"/>
  </si>
  <si>
    <t>鋼矢板</t>
    <rPh sb="0" eb="1">
      <t>コウ</t>
    </rPh>
    <rPh sb="1" eb="3">
      <t>ヤイタ</t>
    </rPh>
    <phoneticPr fontId="2"/>
  </si>
  <si>
    <t>金網</t>
    <rPh sb="0" eb="2">
      <t>カナアミ</t>
    </rPh>
    <phoneticPr fontId="2"/>
  </si>
  <si>
    <t>鋼管</t>
    <rPh sb="0" eb="2">
      <t>コウカン</t>
    </rPh>
    <phoneticPr fontId="2"/>
  </si>
  <si>
    <t>アルミ製品</t>
    <rPh sb="3" eb="5">
      <t>セイヒン</t>
    </rPh>
    <phoneticPr fontId="2"/>
  </si>
  <si>
    <t>その他鉄鋼、非鉄、鋳鉄類</t>
    <rPh sb="2" eb="3">
      <t>タ</t>
    </rPh>
    <rPh sb="3" eb="5">
      <t>テッコウ</t>
    </rPh>
    <rPh sb="6" eb="8">
      <t>ヒテツ</t>
    </rPh>
    <rPh sb="9" eb="11">
      <t>チュウテツ</t>
    </rPh>
    <rPh sb="11" eb="12">
      <t>ルイ</t>
    </rPh>
    <phoneticPr fontId="2"/>
  </si>
  <si>
    <t>生コンクリート</t>
    <rPh sb="0" eb="1">
      <t>ナマ</t>
    </rPh>
    <phoneticPr fontId="2"/>
  </si>
  <si>
    <t>アスファルト混合物</t>
    <rPh sb="6" eb="8">
      <t>コンゴウ</t>
    </rPh>
    <rPh sb="8" eb="9">
      <t>ブツ</t>
    </rPh>
    <phoneticPr fontId="2"/>
  </si>
  <si>
    <t>常温合材</t>
    <rPh sb="0" eb="2">
      <t>ジョウオン</t>
    </rPh>
    <rPh sb="2" eb="3">
      <t>ゴウ</t>
    </rPh>
    <rPh sb="3" eb="4">
      <t>ザイ</t>
    </rPh>
    <phoneticPr fontId="2"/>
  </si>
  <si>
    <t>砕石</t>
    <rPh sb="0" eb="2">
      <t>サイセキ</t>
    </rPh>
    <phoneticPr fontId="2"/>
  </si>
  <si>
    <t>砂利、砂、石粉</t>
    <rPh sb="0" eb="2">
      <t>ジャリ</t>
    </rPh>
    <rPh sb="3" eb="4">
      <t>スナ</t>
    </rPh>
    <rPh sb="5" eb="6">
      <t>イシ</t>
    </rPh>
    <rPh sb="6" eb="7">
      <t>コナ</t>
    </rPh>
    <phoneticPr fontId="2"/>
  </si>
  <si>
    <t>コンクリート二次製品</t>
    <rPh sb="6" eb="8">
      <t>ニジ</t>
    </rPh>
    <rPh sb="8" eb="10">
      <t>セイヒン</t>
    </rPh>
    <phoneticPr fontId="2"/>
  </si>
  <si>
    <t>煉瓦</t>
    <rPh sb="0" eb="2">
      <t>レンガ</t>
    </rPh>
    <phoneticPr fontId="2"/>
  </si>
  <si>
    <t>その他資材</t>
    <rPh sb="2" eb="3">
      <t>タ</t>
    </rPh>
    <rPh sb="3" eb="5">
      <t>シザイ</t>
    </rPh>
    <phoneticPr fontId="2"/>
  </si>
  <si>
    <t>道路標識類</t>
    <rPh sb="0" eb="2">
      <t>ドウロ</t>
    </rPh>
    <rPh sb="2" eb="4">
      <t>ヒョウシキ</t>
    </rPh>
    <rPh sb="4" eb="5">
      <t>ルイ</t>
    </rPh>
    <phoneticPr fontId="2"/>
  </si>
  <si>
    <t>道路標識・案内板</t>
    <rPh sb="0" eb="2">
      <t>ドウロ</t>
    </rPh>
    <rPh sb="2" eb="4">
      <t>ヒョウシキ</t>
    </rPh>
    <rPh sb="5" eb="7">
      <t>アンナイ</t>
    </rPh>
    <rPh sb="7" eb="8">
      <t>バン</t>
    </rPh>
    <phoneticPr fontId="2"/>
  </si>
  <si>
    <t>電照式標識</t>
    <rPh sb="0" eb="1">
      <t>デン</t>
    </rPh>
    <rPh sb="1" eb="2">
      <t>テ</t>
    </rPh>
    <rPh sb="2" eb="3">
      <t>シキ</t>
    </rPh>
    <rPh sb="3" eb="5">
      <t>ヒョウシキ</t>
    </rPh>
    <phoneticPr fontId="2"/>
  </si>
  <si>
    <t>その他標識類</t>
    <rPh sb="2" eb="3">
      <t>タ</t>
    </rPh>
    <rPh sb="3" eb="5">
      <t>ヒョウシキ</t>
    </rPh>
    <rPh sb="5" eb="6">
      <t>ルイ</t>
    </rPh>
    <phoneticPr fontId="2"/>
  </si>
  <si>
    <t>諸材料類</t>
    <rPh sb="0" eb="1">
      <t>ショ</t>
    </rPh>
    <rPh sb="1" eb="3">
      <t>ザイリョウ</t>
    </rPh>
    <rPh sb="3" eb="4">
      <t>ルイ</t>
    </rPh>
    <phoneticPr fontId="2"/>
  </si>
  <si>
    <t>木材</t>
    <rPh sb="0" eb="2">
      <t>モクザイ</t>
    </rPh>
    <phoneticPr fontId="2"/>
  </si>
  <si>
    <t>塗料</t>
    <rPh sb="0" eb="2">
      <t>トリョウ</t>
    </rPh>
    <phoneticPr fontId="2"/>
  </si>
  <si>
    <t>建具</t>
    <rPh sb="0" eb="2">
      <t>タテグ</t>
    </rPh>
    <phoneticPr fontId="2"/>
  </si>
  <si>
    <t>水道用品</t>
    <rPh sb="0" eb="2">
      <t>スイドウ</t>
    </rPh>
    <rPh sb="2" eb="4">
      <t>ヨウヒン</t>
    </rPh>
    <phoneticPr fontId="2"/>
  </si>
  <si>
    <t>架線材料</t>
    <rPh sb="0" eb="2">
      <t>カセン</t>
    </rPh>
    <rPh sb="2" eb="4">
      <t>ザイリョウ</t>
    </rPh>
    <phoneticPr fontId="2"/>
  </si>
  <si>
    <t>絶縁材料</t>
    <rPh sb="0" eb="2">
      <t>ゼツエン</t>
    </rPh>
    <rPh sb="2" eb="4">
      <t>ザイリョウ</t>
    </rPh>
    <phoneticPr fontId="2"/>
  </si>
  <si>
    <t>造園資材</t>
    <rPh sb="0" eb="2">
      <t>ゾウエン</t>
    </rPh>
    <rPh sb="2" eb="4">
      <t>シザイ</t>
    </rPh>
    <phoneticPr fontId="2"/>
  </si>
  <si>
    <t>樹木</t>
    <rPh sb="0" eb="2">
      <t>ジュモク</t>
    </rPh>
    <phoneticPr fontId="2"/>
  </si>
  <si>
    <t>その他諸材料</t>
    <rPh sb="2" eb="3">
      <t>タ</t>
    </rPh>
    <rPh sb="3" eb="4">
      <t>ショ</t>
    </rPh>
    <rPh sb="4" eb="6">
      <t>ザイリョウ</t>
    </rPh>
    <phoneticPr fontId="2"/>
  </si>
  <si>
    <t>災害関係資材</t>
    <rPh sb="0" eb="2">
      <t>サイガイ</t>
    </rPh>
    <rPh sb="2" eb="4">
      <t>カンケイ</t>
    </rPh>
    <rPh sb="4" eb="6">
      <t>シザイ</t>
    </rPh>
    <phoneticPr fontId="2"/>
  </si>
  <si>
    <t>麻袋</t>
    <rPh sb="0" eb="1">
      <t>アサ</t>
    </rPh>
    <rPh sb="1" eb="2">
      <t>フクロ</t>
    </rPh>
    <phoneticPr fontId="2"/>
  </si>
  <si>
    <t>杭</t>
    <rPh sb="0" eb="1">
      <t>クイ</t>
    </rPh>
    <phoneticPr fontId="2"/>
  </si>
  <si>
    <t>その他</t>
    <rPh sb="2" eb="3">
      <t>タ</t>
    </rPh>
    <phoneticPr fontId="2"/>
  </si>
  <si>
    <t>楽器</t>
    <rPh sb="0" eb="2">
      <t>ガッキ</t>
    </rPh>
    <phoneticPr fontId="2"/>
  </si>
  <si>
    <t>その他楽器</t>
    <rPh sb="2" eb="3">
      <t>タ</t>
    </rPh>
    <rPh sb="3" eb="5">
      <t>ガッキ</t>
    </rPh>
    <phoneticPr fontId="2"/>
  </si>
  <si>
    <t>その他音楽関係</t>
    <rPh sb="2" eb="3">
      <t>タ</t>
    </rPh>
    <rPh sb="3" eb="5">
      <t>オンガク</t>
    </rPh>
    <rPh sb="5" eb="7">
      <t>カンケイ</t>
    </rPh>
    <phoneticPr fontId="2"/>
  </si>
  <si>
    <t>運動具</t>
    <rPh sb="0" eb="2">
      <t>ウンドウ</t>
    </rPh>
    <rPh sb="2" eb="3">
      <t>グ</t>
    </rPh>
    <phoneticPr fontId="2"/>
  </si>
  <si>
    <t>競技用具</t>
    <rPh sb="0" eb="2">
      <t>キョウギ</t>
    </rPh>
    <rPh sb="2" eb="4">
      <t>ヨウグ</t>
    </rPh>
    <phoneticPr fontId="2"/>
  </si>
  <si>
    <t>武道具</t>
    <rPh sb="0" eb="2">
      <t>ブドウ</t>
    </rPh>
    <rPh sb="2" eb="3">
      <t>グ</t>
    </rPh>
    <phoneticPr fontId="2"/>
  </si>
  <si>
    <t>柔道用畳</t>
    <rPh sb="0" eb="2">
      <t>ジュウドウ</t>
    </rPh>
    <rPh sb="2" eb="3">
      <t>ヨウ</t>
    </rPh>
    <rPh sb="3" eb="4">
      <t>タタミ</t>
    </rPh>
    <phoneticPr fontId="2"/>
  </si>
  <si>
    <t>競技用記録計測機器</t>
    <rPh sb="0" eb="3">
      <t>キョウギヨウ</t>
    </rPh>
    <rPh sb="3" eb="5">
      <t>キロク</t>
    </rPh>
    <rPh sb="5" eb="7">
      <t>ケイソク</t>
    </rPh>
    <rPh sb="7" eb="9">
      <t>キキ</t>
    </rPh>
    <phoneticPr fontId="2"/>
  </si>
  <si>
    <t>記録表示機器</t>
    <rPh sb="0" eb="2">
      <t>キロク</t>
    </rPh>
    <rPh sb="2" eb="4">
      <t>ヒョウジ</t>
    </rPh>
    <rPh sb="4" eb="6">
      <t>キキ</t>
    </rPh>
    <phoneticPr fontId="2"/>
  </si>
  <si>
    <t>アウトドア用品</t>
    <rPh sb="5" eb="7">
      <t>ヨウヒン</t>
    </rPh>
    <phoneticPr fontId="2"/>
  </si>
  <si>
    <t>その他運動具</t>
    <rPh sb="2" eb="3">
      <t>タ</t>
    </rPh>
    <rPh sb="3" eb="5">
      <t>ウンドウ</t>
    </rPh>
    <rPh sb="5" eb="6">
      <t>グ</t>
    </rPh>
    <phoneticPr fontId="2"/>
  </si>
  <si>
    <t>書籍・出版物</t>
    <rPh sb="0" eb="2">
      <t>ショセキ</t>
    </rPh>
    <rPh sb="3" eb="5">
      <t>シュッパン</t>
    </rPh>
    <rPh sb="5" eb="6">
      <t>ブツ</t>
    </rPh>
    <phoneticPr fontId="2"/>
  </si>
  <si>
    <t>和書</t>
    <rPh sb="0" eb="2">
      <t>ワショ</t>
    </rPh>
    <phoneticPr fontId="2"/>
  </si>
  <si>
    <t>洋書</t>
    <rPh sb="0" eb="2">
      <t>ヨウショ</t>
    </rPh>
    <phoneticPr fontId="2"/>
  </si>
  <si>
    <t>その他出版物</t>
    <rPh sb="2" eb="3">
      <t>タ</t>
    </rPh>
    <rPh sb="3" eb="6">
      <t>シュッパンブツ</t>
    </rPh>
    <phoneticPr fontId="2"/>
  </si>
  <si>
    <t>食料品</t>
    <rPh sb="0" eb="3">
      <t>ショクリョウヒン</t>
    </rPh>
    <phoneticPr fontId="2"/>
  </si>
  <si>
    <t>留置人弁当</t>
    <rPh sb="0" eb="2">
      <t>リュウチ</t>
    </rPh>
    <rPh sb="2" eb="3">
      <t>ニン</t>
    </rPh>
    <rPh sb="3" eb="5">
      <t>ベントウ</t>
    </rPh>
    <phoneticPr fontId="2"/>
  </si>
  <si>
    <t>災害用保存食糧</t>
    <rPh sb="0" eb="2">
      <t>サイガイ</t>
    </rPh>
    <rPh sb="2" eb="3">
      <t>ヨウ</t>
    </rPh>
    <rPh sb="3" eb="5">
      <t>ホゾン</t>
    </rPh>
    <rPh sb="5" eb="7">
      <t>ショクリョウ</t>
    </rPh>
    <phoneticPr fontId="2"/>
  </si>
  <si>
    <t>（贈答用を除く）</t>
    <rPh sb="1" eb="3">
      <t>ゾウトウ</t>
    </rPh>
    <rPh sb="3" eb="4">
      <t>ヨウ</t>
    </rPh>
    <rPh sb="5" eb="6">
      <t>ノゾ</t>
    </rPh>
    <phoneticPr fontId="2"/>
  </si>
  <si>
    <t>その他食料品</t>
    <rPh sb="2" eb="3">
      <t>タ</t>
    </rPh>
    <rPh sb="3" eb="6">
      <t>ショクリョウヒン</t>
    </rPh>
    <phoneticPr fontId="2"/>
  </si>
  <si>
    <t>徽章</t>
    <rPh sb="0" eb="2">
      <t>キショウ</t>
    </rPh>
    <phoneticPr fontId="2"/>
  </si>
  <si>
    <t>贈答用工芸品</t>
    <rPh sb="0" eb="2">
      <t>ゾウトウ</t>
    </rPh>
    <rPh sb="2" eb="3">
      <t>ヨウ</t>
    </rPh>
    <rPh sb="3" eb="6">
      <t>コウゲイヒン</t>
    </rPh>
    <phoneticPr fontId="2"/>
  </si>
  <si>
    <t>贈答用食品</t>
    <rPh sb="0" eb="3">
      <t>ゾウトウヨウ</t>
    </rPh>
    <rPh sb="3" eb="5">
      <t>ショクヒン</t>
    </rPh>
    <phoneticPr fontId="2"/>
  </si>
  <si>
    <t>贈答用寝具・タオル類</t>
    <rPh sb="0" eb="3">
      <t>ゾウトウヨウ</t>
    </rPh>
    <rPh sb="3" eb="5">
      <t>シング</t>
    </rPh>
    <rPh sb="9" eb="10">
      <t>ルイ</t>
    </rPh>
    <phoneticPr fontId="2"/>
  </si>
  <si>
    <t>その他記念品・贈答品</t>
    <rPh sb="2" eb="3">
      <t>タ</t>
    </rPh>
    <rPh sb="3" eb="6">
      <t>キネンヒン</t>
    </rPh>
    <rPh sb="7" eb="10">
      <t>ゾウトウヒン</t>
    </rPh>
    <phoneticPr fontId="2"/>
  </si>
  <si>
    <t>被服・繊維・寝具</t>
    <rPh sb="0" eb="2">
      <t>ヒフク</t>
    </rPh>
    <rPh sb="3" eb="5">
      <t>センイ</t>
    </rPh>
    <rPh sb="6" eb="8">
      <t>シング</t>
    </rPh>
    <phoneticPr fontId="2"/>
  </si>
  <si>
    <t>作業服</t>
    <rPh sb="0" eb="3">
      <t>サギョウフク</t>
    </rPh>
    <phoneticPr fontId="2"/>
  </si>
  <si>
    <t>事務服</t>
    <rPh sb="0" eb="3">
      <t>ジムフク</t>
    </rPh>
    <phoneticPr fontId="2"/>
  </si>
  <si>
    <t>寝具</t>
    <rPh sb="0" eb="2">
      <t>シング</t>
    </rPh>
    <phoneticPr fontId="2"/>
  </si>
  <si>
    <t>（警察官用を除く）</t>
    <rPh sb="1" eb="4">
      <t>ケイサツカン</t>
    </rPh>
    <rPh sb="4" eb="5">
      <t>ヨウ</t>
    </rPh>
    <rPh sb="6" eb="7">
      <t>ノゾ</t>
    </rPh>
    <phoneticPr fontId="2"/>
  </si>
  <si>
    <t>その他被服・繊維</t>
    <rPh sb="2" eb="3">
      <t>タ</t>
    </rPh>
    <rPh sb="3" eb="5">
      <t>ヒフク</t>
    </rPh>
    <rPh sb="6" eb="8">
      <t>センイ</t>
    </rPh>
    <phoneticPr fontId="2"/>
  </si>
  <si>
    <t>靴・皮革・ゴム製品</t>
    <rPh sb="0" eb="1">
      <t>クツ</t>
    </rPh>
    <rPh sb="2" eb="4">
      <t>ヒカク</t>
    </rPh>
    <rPh sb="7" eb="9">
      <t>セイヒン</t>
    </rPh>
    <phoneticPr fontId="2"/>
  </si>
  <si>
    <t>靴（革）</t>
    <rPh sb="0" eb="1">
      <t>クツ</t>
    </rPh>
    <rPh sb="2" eb="3">
      <t>カワ</t>
    </rPh>
    <phoneticPr fontId="2"/>
  </si>
  <si>
    <t>靴（その他）</t>
    <rPh sb="0" eb="1">
      <t>クツ</t>
    </rPh>
    <rPh sb="4" eb="5">
      <t>タ</t>
    </rPh>
    <phoneticPr fontId="2"/>
  </si>
  <si>
    <t>安全靴</t>
    <rPh sb="0" eb="2">
      <t>アンゼン</t>
    </rPh>
    <rPh sb="2" eb="3">
      <t>クツ</t>
    </rPh>
    <phoneticPr fontId="2"/>
  </si>
  <si>
    <t>病院用シューズ</t>
    <rPh sb="0" eb="2">
      <t>ビョウイン</t>
    </rPh>
    <rPh sb="2" eb="3">
      <t>ヨウ</t>
    </rPh>
    <phoneticPr fontId="2"/>
  </si>
  <si>
    <t>その他革・ゴム製品</t>
    <rPh sb="2" eb="3">
      <t>タ</t>
    </rPh>
    <rPh sb="3" eb="4">
      <t>カワ</t>
    </rPh>
    <rPh sb="7" eb="9">
      <t>セイヒン</t>
    </rPh>
    <phoneticPr fontId="2"/>
  </si>
  <si>
    <t>消防・防災・保安用品</t>
    <rPh sb="0" eb="2">
      <t>ショウボウ</t>
    </rPh>
    <rPh sb="3" eb="5">
      <t>ボウサイ</t>
    </rPh>
    <rPh sb="6" eb="8">
      <t>ホアン</t>
    </rPh>
    <rPh sb="8" eb="10">
      <t>ヨウヒン</t>
    </rPh>
    <phoneticPr fontId="2"/>
  </si>
  <si>
    <t>消火器</t>
    <rPh sb="0" eb="3">
      <t>ショウカキ</t>
    </rPh>
    <phoneticPr fontId="2"/>
  </si>
  <si>
    <t>避難・救助器具</t>
    <rPh sb="0" eb="2">
      <t>ヒナン</t>
    </rPh>
    <rPh sb="3" eb="5">
      <t>キュウジョ</t>
    </rPh>
    <rPh sb="5" eb="7">
      <t>キグ</t>
    </rPh>
    <phoneticPr fontId="2"/>
  </si>
  <si>
    <t>防火服・防護服</t>
    <rPh sb="0" eb="2">
      <t>ボウカ</t>
    </rPh>
    <rPh sb="2" eb="3">
      <t>フク</t>
    </rPh>
    <rPh sb="4" eb="7">
      <t>ボウゴフク</t>
    </rPh>
    <phoneticPr fontId="2"/>
  </si>
  <si>
    <t>化学消火薬剤</t>
    <rPh sb="0" eb="2">
      <t>カガク</t>
    </rPh>
    <rPh sb="2" eb="4">
      <t>ショウカ</t>
    </rPh>
    <rPh sb="4" eb="6">
      <t>ヤクザイ</t>
    </rPh>
    <phoneticPr fontId="2"/>
  </si>
  <si>
    <t>防護マスク</t>
    <rPh sb="0" eb="2">
      <t>ボウゴ</t>
    </rPh>
    <phoneticPr fontId="2"/>
  </si>
  <si>
    <t>警察官用被服類</t>
    <rPh sb="0" eb="2">
      <t>ケイサツ</t>
    </rPh>
    <rPh sb="2" eb="3">
      <t>カン</t>
    </rPh>
    <rPh sb="3" eb="4">
      <t>ヨウ</t>
    </rPh>
    <rPh sb="4" eb="6">
      <t>ヒフク</t>
    </rPh>
    <rPh sb="6" eb="7">
      <t>ルイ</t>
    </rPh>
    <phoneticPr fontId="2"/>
  </si>
  <si>
    <t>男性警察官用被服</t>
    <rPh sb="0" eb="2">
      <t>ダンセイ</t>
    </rPh>
    <rPh sb="2" eb="5">
      <t>ケイサツカン</t>
    </rPh>
    <rPh sb="5" eb="6">
      <t>ヨウ</t>
    </rPh>
    <rPh sb="6" eb="8">
      <t>ヒフク</t>
    </rPh>
    <phoneticPr fontId="2"/>
  </si>
  <si>
    <t>女性警察官用被服</t>
    <rPh sb="0" eb="2">
      <t>ジョセイ</t>
    </rPh>
    <rPh sb="2" eb="5">
      <t>ケイサツカン</t>
    </rPh>
    <rPh sb="5" eb="6">
      <t>ヨウ</t>
    </rPh>
    <rPh sb="6" eb="8">
      <t>ヒフク</t>
    </rPh>
    <phoneticPr fontId="2"/>
  </si>
  <si>
    <t>帽子</t>
    <rPh sb="0" eb="2">
      <t>ボウシ</t>
    </rPh>
    <phoneticPr fontId="2"/>
  </si>
  <si>
    <t>（防護衣を除く）</t>
    <rPh sb="1" eb="3">
      <t>ボウゴ</t>
    </rPh>
    <rPh sb="3" eb="4">
      <t>イ</t>
    </rPh>
    <rPh sb="5" eb="6">
      <t>ノゾ</t>
    </rPh>
    <phoneticPr fontId="2"/>
  </si>
  <si>
    <t>手袋</t>
    <rPh sb="0" eb="2">
      <t>テブクロ</t>
    </rPh>
    <phoneticPr fontId="2"/>
  </si>
  <si>
    <t>警察官用装備品</t>
    <rPh sb="0" eb="3">
      <t>ケイサツカン</t>
    </rPh>
    <rPh sb="3" eb="4">
      <t>ヨウ</t>
    </rPh>
    <rPh sb="4" eb="6">
      <t>ソウビ</t>
    </rPh>
    <rPh sb="6" eb="7">
      <t>ヒン</t>
    </rPh>
    <phoneticPr fontId="2"/>
  </si>
  <si>
    <t>警棒</t>
    <rPh sb="0" eb="2">
      <t>ケイボウ</t>
    </rPh>
    <phoneticPr fontId="2"/>
  </si>
  <si>
    <t>帯革</t>
    <rPh sb="0" eb="1">
      <t>オビ</t>
    </rPh>
    <rPh sb="1" eb="2">
      <t>カワ</t>
    </rPh>
    <phoneticPr fontId="2"/>
  </si>
  <si>
    <t>手錠・捕縄</t>
    <rPh sb="0" eb="2">
      <t>テジョウ</t>
    </rPh>
    <rPh sb="3" eb="5">
      <t>ホジョウ</t>
    </rPh>
    <phoneticPr fontId="2"/>
  </si>
  <si>
    <t>防護楯</t>
    <rPh sb="0" eb="2">
      <t>ボウゴ</t>
    </rPh>
    <rPh sb="2" eb="3">
      <t>タテ</t>
    </rPh>
    <phoneticPr fontId="2"/>
  </si>
  <si>
    <t>看板・旗類等</t>
    <rPh sb="0" eb="2">
      <t>カンバン</t>
    </rPh>
    <rPh sb="3" eb="4">
      <t>ハタ</t>
    </rPh>
    <rPh sb="4" eb="5">
      <t>ルイ</t>
    </rPh>
    <rPh sb="5" eb="6">
      <t>トウ</t>
    </rPh>
    <phoneticPr fontId="2"/>
  </si>
  <si>
    <t>看板・掲示板</t>
    <rPh sb="0" eb="2">
      <t>カンバン</t>
    </rPh>
    <rPh sb="3" eb="6">
      <t>ケイジバン</t>
    </rPh>
    <phoneticPr fontId="2"/>
  </si>
  <si>
    <t>黒板</t>
    <rPh sb="0" eb="2">
      <t>コクバン</t>
    </rPh>
    <phoneticPr fontId="2"/>
  </si>
  <si>
    <t>のぼり旗</t>
    <rPh sb="3" eb="4">
      <t>ハタ</t>
    </rPh>
    <phoneticPr fontId="2"/>
  </si>
  <si>
    <t>横断幕</t>
    <rPh sb="0" eb="3">
      <t>オウダンマク</t>
    </rPh>
    <phoneticPr fontId="2"/>
  </si>
  <si>
    <t>懸垂幕</t>
    <rPh sb="0" eb="2">
      <t>ケンスイ</t>
    </rPh>
    <rPh sb="2" eb="3">
      <t>マク</t>
    </rPh>
    <phoneticPr fontId="2"/>
  </si>
  <si>
    <t>展示品</t>
    <rPh sb="0" eb="3">
      <t>テンジヒン</t>
    </rPh>
    <phoneticPr fontId="2"/>
  </si>
  <si>
    <t>模型</t>
    <rPh sb="0" eb="2">
      <t>モケイ</t>
    </rPh>
    <phoneticPr fontId="2"/>
  </si>
  <si>
    <t>舞台装置</t>
    <rPh sb="0" eb="2">
      <t>ブタイ</t>
    </rPh>
    <rPh sb="2" eb="4">
      <t>ソウチ</t>
    </rPh>
    <phoneticPr fontId="2"/>
  </si>
  <si>
    <t>日用雑貨品</t>
    <rPh sb="0" eb="2">
      <t>ニチヨウ</t>
    </rPh>
    <rPh sb="2" eb="4">
      <t>ザッカ</t>
    </rPh>
    <rPh sb="4" eb="5">
      <t>シナ</t>
    </rPh>
    <phoneticPr fontId="2"/>
  </si>
  <si>
    <t>家庭金物</t>
    <rPh sb="0" eb="2">
      <t>カテイ</t>
    </rPh>
    <rPh sb="2" eb="4">
      <t>カナモノ</t>
    </rPh>
    <phoneticPr fontId="2"/>
  </si>
  <si>
    <t>荒物</t>
    <rPh sb="0" eb="2">
      <t>アラモノ</t>
    </rPh>
    <phoneticPr fontId="2"/>
  </si>
  <si>
    <t>ワックス類</t>
    <rPh sb="4" eb="5">
      <t>ルイ</t>
    </rPh>
    <phoneticPr fontId="2"/>
  </si>
  <si>
    <t>洗剤</t>
    <rPh sb="0" eb="2">
      <t>センザイ</t>
    </rPh>
    <phoneticPr fontId="2"/>
  </si>
  <si>
    <t>その他日用雑貨</t>
    <rPh sb="2" eb="3">
      <t>タ</t>
    </rPh>
    <rPh sb="3" eb="5">
      <t>ニチヨウ</t>
    </rPh>
    <rPh sb="5" eb="7">
      <t>ザッカ</t>
    </rPh>
    <phoneticPr fontId="2"/>
  </si>
  <si>
    <t>動物類</t>
    <rPh sb="0" eb="2">
      <t>ドウブツ</t>
    </rPh>
    <rPh sb="2" eb="3">
      <t>ルイ</t>
    </rPh>
    <phoneticPr fontId="2"/>
  </si>
  <si>
    <t>鳥類</t>
    <rPh sb="0" eb="1">
      <t>トリ</t>
    </rPh>
    <rPh sb="1" eb="2">
      <t>ルイ</t>
    </rPh>
    <phoneticPr fontId="2"/>
  </si>
  <si>
    <t>魚類</t>
    <rPh sb="0" eb="1">
      <t>サカナ</t>
    </rPh>
    <rPh sb="1" eb="2">
      <t>ルイ</t>
    </rPh>
    <phoneticPr fontId="2"/>
  </si>
  <si>
    <t>獣類</t>
    <rPh sb="0" eb="1">
      <t>ケモノ</t>
    </rPh>
    <rPh sb="1" eb="2">
      <t>ルイ</t>
    </rPh>
    <phoneticPr fontId="2"/>
  </si>
  <si>
    <t>その他の動物</t>
    <rPh sb="2" eb="3">
      <t>タ</t>
    </rPh>
    <rPh sb="4" eb="6">
      <t>ドウブツ</t>
    </rPh>
    <phoneticPr fontId="2"/>
  </si>
  <si>
    <t>ＰＣソフトウエア</t>
    <phoneticPr fontId="2"/>
  </si>
  <si>
    <t>（機械類）</t>
    <phoneticPr fontId="2"/>
  </si>
  <si>
    <t>所在市町村名</t>
    <rPh sb="0" eb="2">
      <t>ショザイ</t>
    </rPh>
    <rPh sb="2" eb="5">
      <t>シチョウソン</t>
    </rPh>
    <rPh sb="5" eb="6">
      <t>メイ</t>
    </rPh>
    <phoneticPr fontId="2"/>
  </si>
  <si>
    <t>電話番号</t>
    <rPh sb="0" eb="2">
      <t>デンワ</t>
    </rPh>
    <rPh sb="2" eb="4">
      <t>バンゴウ</t>
    </rPh>
    <phoneticPr fontId="2"/>
  </si>
  <si>
    <t>営　　　業　　　概　　　要</t>
    <rPh sb="0" eb="1">
      <t>エイ</t>
    </rPh>
    <rPh sb="4" eb="5">
      <t>ギョウ</t>
    </rPh>
    <rPh sb="8" eb="9">
      <t>オオムネ</t>
    </rPh>
    <rPh sb="12" eb="13">
      <t>ヨウ</t>
    </rPh>
    <phoneticPr fontId="2"/>
  </si>
  <si>
    <t>糸魚川市</t>
    <rPh sb="0" eb="4">
      <t>イトイガワシ</t>
    </rPh>
    <phoneticPr fontId="2"/>
  </si>
  <si>
    <t>佐渡市</t>
    <rPh sb="0" eb="2">
      <t>サド</t>
    </rPh>
    <rPh sb="2" eb="3">
      <t>シ</t>
    </rPh>
    <phoneticPr fontId="2"/>
  </si>
  <si>
    <t>①</t>
    <phoneticPr fontId="2"/>
  </si>
  <si>
    <t>②</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</si>
  <si>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</si>
  <si>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</si>
  <si>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</si>
  <si>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</si>
  <si>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</si>
  <si>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</si>
  <si>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</si>
  <si>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</si>
  <si>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</si>
  <si>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</si>
  <si>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</si>
  <si>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競争入札の参加を　　　　　　　　　希望する営業種目
【単位：大分類】</t>
    <rPh sb="27" eb="29">
      <t>タンイ</t>
    </rPh>
    <rPh sb="30" eb="33">
      <t>ダイブンルイ</t>
    </rPh>
    <phoneticPr fontId="2"/>
  </si>
  <si>
    <t>申請者住所等</t>
    <rPh sb="0" eb="3">
      <t>シンセイシャ</t>
    </rPh>
    <rPh sb="3" eb="5">
      <t>ジュウショ</t>
    </rPh>
    <rPh sb="5" eb="6">
      <t>トウ</t>
    </rPh>
    <phoneticPr fontId="2"/>
  </si>
  <si>
    <t>３　業種及び従業員数</t>
    <rPh sb="2" eb="4">
      <t>ギョウシュ</t>
    </rPh>
    <rPh sb="4" eb="5">
      <t>オヨ</t>
    </rPh>
    <rPh sb="6" eb="9">
      <t>ジュウギョウイン</t>
    </rPh>
    <rPh sb="9" eb="10">
      <t>スウ</t>
    </rPh>
    <phoneticPr fontId="2"/>
  </si>
  <si>
    <t>入札通知書の送付先</t>
    <rPh sb="0" eb="2">
      <t>ニュウサツ</t>
    </rPh>
    <rPh sb="2" eb="4">
      <t>ツウチ</t>
    </rPh>
    <rPh sb="4" eb="5">
      <t>ショ</t>
    </rPh>
    <rPh sb="6" eb="8">
      <t>ソウフ</t>
    </rPh>
    <rPh sb="8" eb="9">
      <t>サキ</t>
    </rPh>
    <phoneticPr fontId="2"/>
  </si>
  <si>
    <t>送付先</t>
    <rPh sb="0" eb="2">
      <t>ソウフ</t>
    </rPh>
    <rPh sb="2" eb="3">
      <t>サキ</t>
    </rPh>
    <phoneticPr fontId="2"/>
  </si>
  <si>
    <t>品目別や営業区域、受取人ごとの指定はできません。</t>
    <phoneticPr fontId="2"/>
  </si>
  <si>
    <t>マシニングセンタ</t>
    <phoneticPr fontId="2"/>
  </si>
  <si>
    <t>プロパンガス</t>
    <phoneticPr fontId="2"/>
  </si>
  <si>
    <t>ガードレール</t>
    <phoneticPr fontId="2"/>
  </si>
  <si>
    <t>コンクリート・セメント・</t>
    <phoneticPr fontId="2"/>
  </si>
  <si>
    <t>セメント</t>
    <phoneticPr fontId="2"/>
  </si>
  <si>
    <t>ピアノ</t>
    <phoneticPr fontId="2"/>
  </si>
  <si>
    <t>カップ</t>
    <phoneticPr fontId="2"/>
  </si>
  <si>
    <t>類</t>
    <phoneticPr fontId="2"/>
  </si>
  <si>
    <t>ヘルメット</t>
    <phoneticPr fontId="2"/>
  </si>
  <si>
    <t>平版印刷等</t>
    <rPh sb="0" eb="2">
      <t>ヘイバン</t>
    </rPh>
    <rPh sb="2" eb="4">
      <t>インサツ</t>
    </rPh>
    <rPh sb="4" eb="5">
      <t>トウ</t>
    </rPh>
    <phoneticPr fontId="2"/>
  </si>
  <si>
    <t>農作物検査機器</t>
    <rPh sb="0" eb="3">
      <t>ノウサクブツ</t>
    </rPh>
    <rPh sb="3" eb="5">
      <t>ケンサ</t>
    </rPh>
    <rPh sb="5" eb="7">
      <t>キキ</t>
    </rPh>
    <phoneticPr fontId="2"/>
  </si>
  <si>
    <t>ボイラ</t>
    <phoneticPr fontId="2"/>
  </si>
  <si>
    <t>その他ストーブ</t>
    <phoneticPr fontId="2"/>
  </si>
  <si>
    <t>ＦＦ式ストーブ</t>
    <rPh sb="2" eb="3">
      <t>シキ</t>
    </rPh>
    <phoneticPr fontId="2"/>
  </si>
  <si>
    <t>発電機</t>
    <rPh sb="0" eb="3">
      <t>ハツデンキ</t>
    </rPh>
    <phoneticPr fontId="2"/>
  </si>
  <si>
    <t>車両整備用品</t>
    <rPh sb="0" eb="2">
      <t>シャリョウ</t>
    </rPh>
    <rPh sb="2" eb="4">
      <t>セイビ</t>
    </rPh>
    <rPh sb="4" eb="6">
      <t>ヨウヒン</t>
    </rPh>
    <phoneticPr fontId="2"/>
  </si>
  <si>
    <t>船舶整備用品</t>
    <rPh sb="0" eb="2">
      <t>センパク</t>
    </rPh>
    <rPh sb="2" eb="4">
      <t>セイビ</t>
    </rPh>
    <rPh sb="4" eb="6">
      <t>ヨウヒン</t>
    </rPh>
    <phoneticPr fontId="2"/>
  </si>
  <si>
    <t>航空機整備用品</t>
    <rPh sb="0" eb="3">
      <t>コウクウキ</t>
    </rPh>
    <rPh sb="3" eb="5">
      <t>セイビ</t>
    </rPh>
    <rPh sb="5" eb="7">
      <t>ヨウヒン</t>
    </rPh>
    <phoneticPr fontId="2"/>
  </si>
  <si>
    <t>ビデオ（出版物）</t>
    <rPh sb="4" eb="7">
      <t>シュッパンブツ</t>
    </rPh>
    <phoneticPr fontId="2"/>
  </si>
  <si>
    <t>ＣＤ・ＤＶＤ（出版物）</t>
    <rPh sb="7" eb="10">
      <t>シュッパンブツ</t>
    </rPh>
    <phoneticPr fontId="2"/>
  </si>
  <si>
    <t>軽印刷・平版印刷等</t>
    <rPh sb="0" eb="1">
      <t>ケイ</t>
    </rPh>
    <rPh sb="1" eb="3">
      <t>インサツ</t>
    </rPh>
    <rPh sb="4" eb="6">
      <t>ヘイバン</t>
    </rPh>
    <rPh sb="6" eb="8">
      <t>インサツ</t>
    </rPh>
    <rPh sb="8" eb="9">
      <t>トウ</t>
    </rPh>
    <phoneticPr fontId="2"/>
  </si>
  <si>
    <t>　　いずれかに○を付してください。</t>
    <rPh sb="9" eb="10">
      <t>フ</t>
    </rPh>
    <phoneticPr fontId="2"/>
  </si>
  <si>
    <t>　　　区分が不明確な場合はいずれにも○を付して</t>
    <rPh sb="3" eb="5">
      <t>クブン</t>
    </rPh>
    <rPh sb="6" eb="9">
      <t>フメイカク</t>
    </rPh>
    <rPh sb="10" eb="12">
      <t>バアイ</t>
    </rPh>
    <rPh sb="20" eb="21">
      <t>フ</t>
    </rPh>
    <phoneticPr fontId="2"/>
  </si>
  <si>
    <t>　　ください。</t>
    <phoneticPr fontId="2"/>
  </si>
  <si>
    <t>その他平版印刷等</t>
    <rPh sb="2" eb="3">
      <t>タ</t>
    </rPh>
    <rPh sb="3" eb="5">
      <t>ヘイバン</t>
    </rPh>
    <rPh sb="5" eb="7">
      <t>インサツ</t>
    </rPh>
    <rPh sb="7" eb="8">
      <t>トウ</t>
    </rPh>
    <phoneticPr fontId="2"/>
  </si>
  <si>
    <t>（千円未満
四捨五入）</t>
    <rPh sb="1" eb="3">
      <t>センエン</t>
    </rPh>
    <rPh sb="3" eb="5">
      <t>ミマン</t>
    </rPh>
    <rPh sb="6" eb="10">
      <t>シシャゴニュウ</t>
    </rPh>
    <phoneticPr fontId="2"/>
  </si>
  <si>
    <t>看護・介護用機器（ベッドを含む）</t>
    <rPh sb="0" eb="2">
      <t>カンゴ</t>
    </rPh>
    <rPh sb="3" eb="5">
      <t>カイゴ</t>
    </rPh>
    <rPh sb="5" eb="6">
      <t>ヨウ</t>
    </rPh>
    <rPh sb="6" eb="8">
      <t>キキ</t>
    </rPh>
    <rPh sb="13" eb="14">
      <t>フク</t>
    </rPh>
    <phoneticPr fontId="2"/>
  </si>
  <si>
    <t>注    軽印刷・平版印刷等については、該当する</t>
    <rPh sb="0" eb="1">
      <t>チュウ</t>
    </rPh>
    <rPh sb="5" eb="6">
      <t>ケイ</t>
    </rPh>
    <rPh sb="6" eb="8">
      <t>インサツ</t>
    </rPh>
    <rPh sb="9" eb="11">
      <t>ヘイバン</t>
    </rPh>
    <rPh sb="11" eb="13">
      <t>インサツ</t>
    </rPh>
    <rPh sb="13" eb="14">
      <t>トウ</t>
    </rPh>
    <rPh sb="20" eb="22">
      <t>ガイトウ</t>
    </rPh>
    <phoneticPr fontId="2"/>
  </si>
  <si>
    <t>別紙１から別紙３までのとおり</t>
    <rPh sb="0" eb="2">
      <t>ベッシ</t>
    </rPh>
    <rPh sb="5" eb="7">
      <t>ベッシ</t>
    </rPh>
    <phoneticPr fontId="2"/>
  </si>
  <si>
    <t>　選択、記入してください。</t>
    <rPh sb="1" eb="3">
      <t>センタク</t>
    </rPh>
    <rPh sb="4" eb="6">
      <t>キニュウ</t>
    </rPh>
    <phoneticPr fontId="2"/>
  </si>
  <si>
    <t>１   入札・契約・代金の請求及び受領・復代理人の選任に関する権限を常時委任する場合に</t>
    <rPh sb="4" eb="6">
      <t>ニュウサツ</t>
    </rPh>
    <rPh sb="7" eb="9">
      <t>ケイヤク</t>
    </rPh>
    <rPh sb="10" eb="12">
      <t>ダイキン</t>
    </rPh>
    <rPh sb="13" eb="15">
      <t>セイキュウ</t>
    </rPh>
    <rPh sb="15" eb="16">
      <t>オヨ</t>
    </rPh>
    <rPh sb="17" eb="19">
      <t>ジュリョウ</t>
    </rPh>
    <rPh sb="28" eb="29">
      <t>カン</t>
    </rPh>
    <rPh sb="31" eb="33">
      <t>ケンゲン</t>
    </rPh>
    <rPh sb="34" eb="36">
      <t>ジョウジ</t>
    </rPh>
    <rPh sb="36" eb="38">
      <t>イニン</t>
    </rPh>
    <rPh sb="40" eb="42">
      <t>バアイ</t>
    </rPh>
    <phoneticPr fontId="2"/>
  </si>
  <si>
    <t>３   個々の入札時の入札書の提出のみを委任する場合は記入しないでください。</t>
    <rPh sb="4" eb="6">
      <t>ココ</t>
    </rPh>
    <rPh sb="7" eb="9">
      <t>ニュウサツ</t>
    </rPh>
    <rPh sb="9" eb="10">
      <t>ジ</t>
    </rPh>
    <rPh sb="11" eb="13">
      <t>ニュウサツ</t>
    </rPh>
    <rPh sb="13" eb="14">
      <t>ショ</t>
    </rPh>
    <rPh sb="15" eb="17">
      <t>テイシュツ</t>
    </rPh>
    <rPh sb="20" eb="22">
      <t>イニン</t>
    </rPh>
    <rPh sb="24" eb="26">
      <t>バアイ</t>
    </rPh>
    <rPh sb="27" eb="29">
      <t>キニュウ</t>
    </rPh>
    <phoneticPr fontId="2"/>
  </si>
  <si>
    <t>平版印刷等</t>
    <rPh sb="0" eb="2">
      <t>ヘイハン</t>
    </rPh>
    <rPh sb="2" eb="4">
      <t>インサツ</t>
    </rPh>
    <rPh sb="4" eb="5">
      <t>トウ</t>
    </rPh>
    <phoneticPr fontId="2"/>
  </si>
  <si>
    <t>靴・皮革・ゴム製品（警察官用を除く）</t>
    <rPh sb="0" eb="1">
      <t>クツ</t>
    </rPh>
    <rPh sb="2" eb="4">
      <t>ヒカク</t>
    </rPh>
    <rPh sb="7" eb="9">
      <t>セイヒン</t>
    </rPh>
    <rPh sb="10" eb="12">
      <t>ケイサツ</t>
    </rPh>
    <rPh sb="12" eb="13">
      <t>カン</t>
    </rPh>
    <rPh sb="13" eb="14">
      <t>ヨウ</t>
    </rPh>
    <rPh sb="15" eb="16">
      <t>ノゾ</t>
    </rPh>
    <phoneticPr fontId="2"/>
  </si>
  <si>
    <t>贈答用文具</t>
    <rPh sb="0" eb="2">
      <t>ゾウトウ</t>
    </rPh>
    <rPh sb="2" eb="3">
      <t>ヨウ</t>
    </rPh>
    <rPh sb="3" eb="5">
      <t>ブング</t>
    </rPh>
    <phoneticPr fontId="2"/>
  </si>
  <si>
    <t>※ 印刷機器を所有している場合は、必要事項を記入してください。</t>
    <rPh sb="2" eb="4">
      <t>インサツ</t>
    </rPh>
    <rPh sb="4" eb="6">
      <t>キキ</t>
    </rPh>
    <rPh sb="7" eb="9">
      <t>ショユウ</t>
    </rPh>
    <rPh sb="13" eb="15">
      <t>バアイ</t>
    </rPh>
    <rPh sb="17" eb="19">
      <t>ヒツヨウ</t>
    </rPh>
    <rPh sb="19" eb="21">
      <t>ジコウ</t>
    </rPh>
    <rPh sb="22" eb="24">
      <t>キニュウ</t>
    </rPh>
    <phoneticPr fontId="2"/>
  </si>
  <si>
    <t>以下は未記入として、この様式を提出してください。</t>
    <rPh sb="0" eb="2">
      <t>イカ</t>
    </rPh>
    <rPh sb="3" eb="6">
      <t>ミキニュウ</t>
    </rPh>
    <rPh sb="12" eb="14">
      <t>ヨウシキ</t>
    </rPh>
    <rPh sb="15" eb="17">
      <t>テイシュツ</t>
    </rPh>
    <phoneticPr fontId="2"/>
  </si>
  <si>
    <t>法人番号</t>
    <rPh sb="0" eb="2">
      <t>ホウジン</t>
    </rPh>
    <rPh sb="2" eb="4">
      <t>バンゴウ</t>
    </rPh>
    <phoneticPr fontId="2"/>
  </si>
  <si>
    <t>コード</t>
    <phoneticPr fontId="2"/>
  </si>
  <si>
    <t>ストックフォーム</t>
    <phoneticPr fontId="2"/>
  </si>
  <si>
    <t>シュレッダ</t>
    <phoneticPr fontId="2"/>
  </si>
  <si>
    <t>パソコン・サーバ</t>
    <phoneticPr fontId="2"/>
  </si>
  <si>
    <t>トナーカートリッジ</t>
    <phoneticPr fontId="2"/>
  </si>
  <si>
    <t>カーテン・ブラインド</t>
    <phoneticPr fontId="2"/>
  </si>
  <si>
    <t>ポスター</t>
    <phoneticPr fontId="2"/>
  </si>
  <si>
    <t>マイクロフィルム</t>
    <phoneticPr fontId="2"/>
  </si>
  <si>
    <t>プロジェクター</t>
    <phoneticPr fontId="2"/>
  </si>
  <si>
    <t>ガスクロマトグラフ</t>
    <phoneticPr fontId="2"/>
  </si>
  <si>
    <t>消耗品</t>
    <phoneticPr fontId="2"/>
  </si>
  <si>
    <t>グレーダ</t>
    <phoneticPr fontId="2"/>
  </si>
  <si>
    <t>ドーザ</t>
    <phoneticPr fontId="2"/>
  </si>
  <si>
    <t>トラクタ</t>
    <phoneticPr fontId="2"/>
  </si>
  <si>
    <t>コンバイン</t>
    <phoneticPr fontId="2"/>
  </si>
  <si>
    <t>ＦＡシステム</t>
    <phoneticPr fontId="2"/>
  </si>
  <si>
    <t>空調機</t>
    <phoneticPr fontId="2"/>
  </si>
  <si>
    <t>空気清浄機</t>
    <phoneticPr fontId="2"/>
  </si>
  <si>
    <t>ポンプ</t>
    <phoneticPr fontId="2"/>
  </si>
  <si>
    <t>フォークリフト</t>
    <phoneticPr fontId="2"/>
  </si>
  <si>
    <t>消耗資材</t>
    <phoneticPr fontId="2"/>
  </si>
  <si>
    <t>トラック・バス</t>
    <phoneticPr fontId="2"/>
  </si>
  <si>
    <t>ヨット</t>
    <phoneticPr fontId="2"/>
  </si>
  <si>
    <t>ヘリコプター</t>
    <phoneticPr fontId="2"/>
  </si>
  <si>
    <t>装備品</t>
    <phoneticPr fontId="2"/>
  </si>
  <si>
    <t>ガソリン</t>
    <phoneticPr fontId="2"/>
  </si>
  <si>
    <t>ＣＮＧ</t>
    <phoneticPr fontId="2"/>
  </si>
  <si>
    <t>舗装材類</t>
    <phoneticPr fontId="2"/>
  </si>
  <si>
    <t>カーブミラー</t>
    <phoneticPr fontId="2"/>
  </si>
  <si>
    <t>スノーポール</t>
    <phoneticPr fontId="2"/>
  </si>
  <si>
    <t>デリネーター</t>
    <phoneticPr fontId="2"/>
  </si>
  <si>
    <t>ガラス</t>
    <phoneticPr fontId="2"/>
  </si>
  <si>
    <t>フレコンパック</t>
    <phoneticPr fontId="2"/>
  </si>
  <si>
    <t>ブルーシート</t>
    <phoneticPr fontId="2"/>
  </si>
  <si>
    <t>ベルト</t>
    <phoneticPr fontId="2"/>
  </si>
  <si>
    <t>ネクタイ</t>
    <phoneticPr fontId="2"/>
  </si>
  <si>
    <t>トイレットペーパー</t>
    <phoneticPr fontId="2"/>
  </si>
  <si>
    <t>図書カード</t>
    <rPh sb="0" eb="2">
      <t>トショ</t>
    </rPh>
    <phoneticPr fontId="2"/>
  </si>
  <si>
    <t>特別高圧（電気）</t>
    <rPh sb="0" eb="2">
      <t>トクベツ</t>
    </rPh>
    <rPh sb="2" eb="4">
      <t>コウアツ</t>
    </rPh>
    <rPh sb="5" eb="7">
      <t>デンキ</t>
    </rPh>
    <phoneticPr fontId="2"/>
  </si>
  <si>
    <t>畳</t>
    <rPh sb="0" eb="1">
      <t>タタミ</t>
    </rPh>
    <phoneticPr fontId="2"/>
  </si>
  <si>
    <t>文房具</t>
    <rPh sb="0" eb="3">
      <t>ブンボウグ</t>
    </rPh>
    <phoneticPr fontId="2"/>
  </si>
  <si>
    <t>複写サービス業務</t>
    <rPh sb="0" eb="2">
      <t>フクシャ</t>
    </rPh>
    <rPh sb="6" eb="8">
      <t>ギョウム</t>
    </rPh>
    <phoneticPr fontId="2"/>
  </si>
  <si>
    <t>耐震補強枠付鉄骨ブレース</t>
    <rPh sb="0" eb="2">
      <t>タイシン</t>
    </rPh>
    <rPh sb="2" eb="4">
      <t>ホキョウ</t>
    </rPh>
    <rPh sb="4" eb="5">
      <t>ワク</t>
    </rPh>
    <rPh sb="5" eb="6">
      <t>ツ</t>
    </rPh>
    <rPh sb="6" eb="8">
      <t>テッコツ</t>
    </rPh>
    <phoneticPr fontId="2"/>
  </si>
  <si>
    <t>高圧（電気）</t>
    <rPh sb="0" eb="2">
      <t>コウアツ</t>
    </rPh>
    <rPh sb="1" eb="2">
      <t>トッコウ</t>
    </rPh>
    <rPh sb="3" eb="5">
      <t>デンキ</t>
    </rPh>
    <phoneticPr fontId="2"/>
  </si>
  <si>
    <t>都道府県</t>
    <rPh sb="0" eb="4">
      <t>トドウフケン</t>
    </rPh>
    <phoneticPr fontId="2"/>
  </si>
  <si>
    <t>新規</t>
    <rPh sb="0" eb="2">
      <t>シンキ</t>
    </rPh>
    <phoneticPr fontId="2"/>
  </si>
  <si>
    <t>継続</t>
    <rPh sb="0" eb="2">
      <t>ケイゾク</t>
    </rPh>
    <phoneticPr fontId="2"/>
  </si>
  <si>
    <t>部署名・氏名</t>
    <rPh sb="0" eb="2">
      <t>ブショ</t>
    </rPh>
    <rPh sb="2" eb="3">
      <t>メイ</t>
    </rPh>
    <rPh sb="4" eb="6">
      <t>シメイ</t>
    </rPh>
    <phoneticPr fontId="2"/>
  </si>
  <si>
    <t>申請年月日</t>
    <rPh sb="0" eb="2">
      <t>シンセイ</t>
    </rPh>
    <rPh sb="2" eb="5">
      <t>ネンガッピ</t>
    </rPh>
    <phoneticPr fontId="2"/>
  </si>
  <si>
    <t>市区町村以下</t>
    <rPh sb="0" eb="2">
      <t>シク</t>
    </rPh>
    <rPh sb="2" eb="4">
      <t>チョウソン</t>
    </rPh>
    <rPh sb="4" eb="6">
      <t>イカ</t>
    </rPh>
    <phoneticPr fontId="2"/>
  </si>
  <si>
    <t>特定の区域を納入先にする入札のみ参加を希望する。</t>
    <phoneticPr fontId="2"/>
  </si>
  <si>
    <t>希望する</t>
    <rPh sb="0" eb="2">
      <t>キボウ</t>
    </rPh>
    <phoneticPr fontId="2"/>
  </si>
  <si>
    <t>希望しない</t>
    <rPh sb="0" eb="2">
      <t>キボウ</t>
    </rPh>
    <phoneticPr fontId="2"/>
  </si>
  <si>
    <t>(1) 小売業</t>
    <phoneticPr fontId="2"/>
  </si>
  <si>
    <t>(2) 卸売業</t>
    <phoneticPr fontId="2"/>
  </si>
  <si>
    <t>(3) ソフトウェア業又は情報処理サービス業</t>
    <phoneticPr fontId="2"/>
  </si>
  <si>
    <t>(4) (3)以外のサービス業</t>
    <phoneticPr fontId="2"/>
  </si>
  <si>
    <t>(5) 旅館業</t>
    <phoneticPr fontId="2"/>
  </si>
  <si>
    <t>(6) ゴム製品製造業</t>
    <phoneticPr fontId="2"/>
  </si>
  <si>
    <t>(7) (6)以外の製造業、建築業、運輸業、その他業種</t>
    <phoneticPr fontId="2"/>
  </si>
  <si>
    <t>認証状況</t>
    <rPh sb="0" eb="2">
      <t>ニンショウ</t>
    </rPh>
    <rPh sb="2" eb="4">
      <t>ジョウキョウ</t>
    </rPh>
    <phoneticPr fontId="2"/>
  </si>
  <si>
    <t>該当あり</t>
    <rPh sb="0" eb="2">
      <t>ガイトウ</t>
    </rPh>
    <phoneticPr fontId="2"/>
  </si>
  <si>
    <t>該当なし</t>
    <rPh sb="0" eb="2">
      <t>ガイトウ</t>
    </rPh>
    <phoneticPr fontId="2"/>
  </si>
  <si>
    <t>ISO   9000シリーズ</t>
    <phoneticPr fontId="2"/>
  </si>
  <si>
    <t>ISO  14000シリーズ</t>
    <phoneticPr fontId="2"/>
  </si>
  <si>
    <t>ISO  27000シリーズ</t>
    <phoneticPr fontId="2"/>
  </si>
  <si>
    <t>職名</t>
    <phoneticPr fontId="2"/>
  </si>
  <si>
    <t>都道府県</t>
    <rPh sb="0" eb="4">
      <t>トドウフケン</t>
    </rPh>
    <phoneticPr fontId="2"/>
  </si>
  <si>
    <t>市区町村以下</t>
    <phoneticPr fontId="2"/>
  </si>
  <si>
    <t>登録する</t>
    <rPh sb="0" eb="2">
      <t>トウロク</t>
    </rPh>
    <phoneticPr fontId="2"/>
  </si>
  <si>
    <t>登録しない</t>
    <rPh sb="0" eb="2">
      <t>トウロク</t>
    </rPh>
    <phoneticPr fontId="2"/>
  </si>
  <si>
    <t>代理人を置く</t>
    <rPh sb="0" eb="3">
      <t>ダイリニン</t>
    </rPh>
    <rPh sb="4" eb="5">
      <t>オ</t>
    </rPh>
    <phoneticPr fontId="2"/>
  </si>
  <si>
    <t>代理人を置かない</t>
    <rPh sb="0" eb="3">
      <t>ダイリニン</t>
    </rPh>
    <rPh sb="4" eb="5">
      <t>オ</t>
    </rPh>
    <phoneticPr fontId="2"/>
  </si>
  <si>
    <t>該当する方を○で囲んでください。</t>
    <rPh sb="0" eb="2">
      <t>ガイトウ</t>
    </rPh>
    <rPh sb="4" eb="5">
      <t>ホウ</t>
    </rPh>
    <rPh sb="8" eb="9">
      <t>カコ</t>
    </rPh>
    <phoneticPr fontId="2"/>
  </si>
  <si>
    <t>（１）</t>
    <phoneticPr fontId="2"/>
  </si>
  <si>
    <t>（１）県内全域を希望</t>
    <rPh sb="3" eb="5">
      <t>ケンナイ</t>
    </rPh>
    <rPh sb="5" eb="7">
      <t>ゼンイキ</t>
    </rPh>
    <rPh sb="8" eb="10">
      <t>キボウ</t>
    </rPh>
    <phoneticPr fontId="2"/>
  </si>
  <si>
    <t>（２）</t>
    <phoneticPr fontId="2"/>
  </si>
  <si>
    <t>（２）特定の区域を希望</t>
    <rPh sb="3" eb="5">
      <t>トクテイ</t>
    </rPh>
    <rPh sb="6" eb="8">
      <t>クイキ</t>
    </rPh>
    <rPh sb="9" eb="11">
      <t>キボウ</t>
    </rPh>
    <phoneticPr fontId="2"/>
  </si>
  <si>
    <t>（２）を選択した場合は、必ず以下の区域ごとに希望の有無を○で囲んでください。</t>
    <rPh sb="4" eb="6">
      <t>センタク</t>
    </rPh>
    <rPh sb="8" eb="10">
      <t>バアイ</t>
    </rPh>
    <rPh sb="12" eb="13">
      <t>カナラ</t>
    </rPh>
    <rPh sb="14" eb="16">
      <t>イカ</t>
    </rPh>
    <rPh sb="17" eb="19">
      <t>クイキ</t>
    </rPh>
    <rPh sb="22" eb="24">
      <t>キボウ</t>
    </rPh>
    <rPh sb="25" eb="27">
      <t>ウム</t>
    </rPh>
    <rPh sb="30" eb="31">
      <t>カコ</t>
    </rPh>
    <phoneticPr fontId="2"/>
  </si>
  <si>
    <t>希望の有無の記載欄</t>
    <rPh sb="0" eb="2">
      <t>キボウ</t>
    </rPh>
    <rPh sb="3" eb="5">
      <t>ウム</t>
    </rPh>
    <rPh sb="6" eb="8">
      <t>キサイ</t>
    </rPh>
    <rPh sb="8" eb="9">
      <t>ラン</t>
    </rPh>
    <phoneticPr fontId="2"/>
  </si>
  <si>
    <t>⑧</t>
    <phoneticPr fontId="2"/>
  </si>
  <si>
    <t>登録年月日</t>
    <rPh sb="0" eb="2">
      <t>トウロク</t>
    </rPh>
    <rPh sb="2" eb="5">
      <t>ネンガッピ</t>
    </rPh>
    <phoneticPr fontId="2"/>
  </si>
  <si>
    <t>小売業</t>
  </si>
  <si>
    <t>卸売業</t>
  </si>
  <si>
    <t>ソフトウェア･情報処理サービス</t>
  </si>
  <si>
    <t>旅館業</t>
  </si>
  <si>
    <t>ゴム製品製造業</t>
  </si>
  <si>
    <t>明治</t>
    <rPh sb="0" eb="2">
      <t>メイジ</t>
    </rPh>
    <phoneticPr fontId="37"/>
  </si>
  <si>
    <t>M</t>
    <phoneticPr fontId="37"/>
  </si>
  <si>
    <t>大正</t>
    <rPh sb="0" eb="2">
      <t>タイショウ</t>
    </rPh>
    <phoneticPr fontId="37"/>
  </si>
  <si>
    <t>T</t>
    <phoneticPr fontId="37"/>
  </si>
  <si>
    <t>昭和</t>
    <rPh sb="0" eb="2">
      <t>ショウワ</t>
    </rPh>
    <phoneticPr fontId="37"/>
  </si>
  <si>
    <t>S</t>
    <phoneticPr fontId="37"/>
  </si>
  <si>
    <t>平成</t>
    <rPh sb="0" eb="2">
      <t>ヘイセイ</t>
    </rPh>
    <phoneticPr fontId="37"/>
  </si>
  <si>
    <t>H</t>
    <phoneticPr fontId="37"/>
  </si>
  <si>
    <t>令和</t>
    <rPh sb="0" eb="2">
      <t>レイワ</t>
    </rPh>
    <phoneticPr fontId="37"/>
  </si>
  <si>
    <t>R</t>
    <phoneticPr fontId="37"/>
  </si>
  <si>
    <t>令和</t>
    <rPh sb="0" eb="2">
      <t>レイワ</t>
    </rPh>
    <phoneticPr fontId="2"/>
  </si>
  <si>
    <t>年</t>
    <rPh sb="0" eb="1">
      <t>ネン</t>
    </rPh>
    <phoneticPr fontId="2"/>
  </si>
  <si>
    <t>月</t>
    <rPh sb="0" eb="1">
      <t>ガツ</t>
    </rPh>
    <phoneticPr fontId="2"/>
  </si>
  <si>
    <t>日</t>
    <rPh sb="0" eb="1">
      <t>ニチ</t>
    </rPh>
    <phoneticPr fontId="2"/>
  </si>
  <si>
    <t>年</t>
    <rPh sb="0" eb="1">
      <t>ネン</t>
    </rPh>
    <phoneticPr fontId="2"/>
  </si>
  <si>
    <t>日</t>
    <rPh sb="0" eb="1">
      <t>ニチ</t>
    </rPh>
    <phoneticPr fontId="2"/>
  </si>
  <si>
    <t>月</t>
    <rPh sb="0" eb="1">
      <t>ゲツ</t>
    </rPh>
    <phoneticPr fontId="2"/>
  </si>
  <si>
    <t>使用印鑑の登録</t>
    <rPh sb="0" eb="2">
      <t>シヨウ</t>
    </rPh>
    <rPh sb="2" eb="4">
      <t>インカン</t>
    </rPh>
    <rPh sb="5" eb="7">
      <t>トウロク</t>
    </rPh>
    <phoneticPr fontId="2"/>
  </si>
  <si>
    <t>本店所在市町村</t>
    <rPh sb="0" eb="2">
      <t>ホンテン</t>
    </rPh>
    <rPh sb="2" eb="4">
      <t>ショザイ</t>
    </rPh>
    <rPh sb="4" eb="7">
      <t>シチョウソン</t>
    </rPh>
    <phoneticPr fontId="2"/>
  </si>
  <si>
    <t>上記に記載した住所が
登記等と異なる理由</t>
    <rPh sb="0" eb="2">
      <t>ジョウキ</t>
    </rPh>
    <rPh sb="3" eb="5">
      <t>キサイ</t>
    </rPh>
    <rPh sb="7" eb="9">
      <t>ジュウショ</t>
    </rPh>
    <rPh sb="11" eb="13">
      <t>トウキ</t>
    </rPh>
    <rPh sb="13" eb="14">
      <t>トウ</t>
    </rPh>
    <rPh sb="18" eb="20">
      <t>リユウ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</si>
  <si>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</si>
  <si>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</si>
  <si>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</si>
  <si>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</si>
  <si>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</si>
  <si>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</si>
  <si>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</si>
  <si>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</si>
  <si>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</si>
  <si>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申請書記載
担当者連絡先　　　　　　　　　　</t>
    <rPh sb="0" eb="3">
      <t>シンセイショ</t>
    </rPh>
    <rPh sb="3" eb="5">
      <t>キサイ</t>
    </rPh>
    <rPh sb="6" eb="9">
      <t>タントウシャ</t>
    </rPh>
    <rPh sb="9" eb="12">
      <t>レンラクサキ</t>
    </rPh>
    <phoneticPr fontId="2"/>
  </si>
  <si>
    <t>県内全域を販売区域とする。</t>
    <phoneticPr fontId="2"/>
  </si>
  <si>
    <t>区域名（R4.10.1現在）</t>
    <rPh sb="0" eb="2">
      <t>クイキ</t>
    </rPh>
    <rPh sb="2" eb="3">
      <t>メイ</t>
    </rPh>
    <rPh sb="11" eb="13">
      <t>ゲンザイ</t>
    </rPh>
    <phoneticPr fontId="2"/>
  </si>
  <si>
    <r>
      <t>７　認証等の取得状況</t>
    </r>
    <r>
      <rPr>
        <b/>
        <sz val="10"/>
        <rFont val="ＭＳ Ｐゴシック"/>
        <family val="3"/>
        <charset val="128"/>
      </rPr>
      <t>（該当する項目を選択してください。）</t>
    </r>
    <rPh sb="2" eb="4">
      <t>ニンショウ</t>
    </rPh>
    <rPh sb="4" eb="5">
      <t>トウ</t>
    </rPh>
    <rPh sb="6" eb="8">
      <t>シュトク</t>
    </rPh>
    <rPh sb="8" eb="10">
      <t>ジョウキョウ</t>
    </rPh>
    <rPh sb="11" eb="13">
      <t>ガイトウ</t>
    </rPh>
    <rPh sb="15" eb="17">
      <t>コウモク</t>
    </rPh>
    <rPh sb="18" eb="20">
      <t>センタク</t>
    </rPh>
    <phoneticPr fontId="2"/>
  </si>
  <si>
    <r>
      <t>９　使用印鑑（代表者が使用する実印以外の印鑑）の登録　</t>
    </r>
    <r>
      <rPr>
        <b/>
        <sz val="10"/>
        <rFont val="ＭＳ Ｐゴシック"/>
        <family val="3"/>
        <charset val="128"/>
      </rPr>
      <t>（該当する項目を選択してください。）</t>
    </r>
    <rPh sb="2" eb="4">
      <t>シヨウ</t>
    </rPh>
    <rPh sb="4" eb="6">
      <t>インカン</t>
    </rPh>
    <rPh sb="7" eb="10">
      <t>ダイヒョウシャ</t>
    </rPh>
    <rPh sb="11" eb="13">
      <t>シヨウ</t>
    </rPh>
    <rPh sb="15" eb="17">
      <t>ジツイン</t>
    </rPh>
    <rPh sb="17" eb="19">
      <t>イガイ</t>
    </rPh>
    <rPh sb="20" eb="22">
      <t>インカン</t>
    </rPh>
    <rPh sb="24" eb="26">
      <t>トウロク</t>
    </rPh>
    <rPh sb="35" eb="37">
      <t>センタク</t>
    </rPh>
    <phoneticPr fontId="2"/>
  </si>
  <si>
    <r>
      <t>１　</t>
    </r>
    <r>
      <rPr>
        <b/>
        <u/>
        <sz val="12"/>
        <rFont val="ＭＳ Ｐゴシック"/>
        <family val="3"/>
        <charset val="128"/>
      </rPr>
      <t>本社（本店）以外</t>
    </r>
    <r>
      <rPr>
        <b/>
        <sz val="12"/>
        <rFont val="ＭＳ Ｐゴシック"/>
        <family val="3"/>
        <charset val="128"/>
      </rPr>
      <t>の新潟県内における事務所事業所（支店・営業所・工場等）</t>
    </r>
    <rPh sb="2" eb="4">
      <t>ホンシャ</t>
    </rPh>
    <rPh sb="5" eb="7">
      <t>ホンテン</t>
    </rPh>
    <rPh sb="8" eb="10">
      <t>イガイ</t>
    </rPh>
    <rPh sb="11" eb="14">
      <t>ニイガタケン</t>
    </rPh>
    <rPh sb="14" eb="15">
      <t>ナイ</t>
    </rPh>
    <rPh sb="19" eb="22">
      <t>ジムショ</t>
    </rPh>
    <rPh sb="22" eb="25">
      <t>ジギョウショ</t>
    </rPh>
    <rPh sb="26" eb="28">
      <t>シテン</t>
    </rPh>
    <rPh sb="29" eb="32">
      <t>エイギョウショ</t>
    </rPh>
    <rPh sb="33" eb="35">
      <t>コウジョウ</t>
    </rPh>
    <rPh sb="35" eb="36">
      <t>トウ</t>
    </rPh>
    <phoneticPr fontId="2"/>
  </si>
  <si>
    <r>
      <t xml:space="preserve">業種 </t>
    </r>
    <r>
      <rPr>
        <sz val="10"/>
        <rFont val="ＭＳ Ｐ明朝"/>
        <family val="1"/>
        <charset val="128"/>
      </rPr>
      <t>（記載要領の業種欄から選択して記入）</t>
    </r>
    <rPh sb="0" eb="1">
      <t>ギョウ</t>
    </rPh>
    <rPh sb="1" eb="2">
      <t>タネ</t>
    </rPh>
    <rPh sb="4" eb="6">
      <t>キサイ</t>
    </rPh>
    <rPh sb="6" eb="8">
      <t>ヨウリョウ</t>
    </rPh>
    <rPh sb="9" eb="11">
      <t>ギョウシュ</t>
    </rPh>
    <rPh sb="11" eb="12">
      <t>ラン</t>
    </rPh>
    <rPh sb="14" eb="16">
      <t>センタク</t>
    </rPh>
    <rPh sb="18" eb="20">
      <t>キニュウ</t>
    </rPh>
    <phoneticPr fontId="2"/>
  </si>
  <si>
    <r>
      <t xml:space="preserve">従業員数 </t>
    </r>
    <r>
      <rPr>
        <sz val="10"/>
        <rFont val="ＭＳ Ｐ明朝"/>
        <family val="1"/>
        <charset val="128"/>
      </rPr>
      <t>（中小企業基本法に定める従業員数）</t>
    </r>
    <rPh sb="0" eb="3">
      <t>ジュウギョウイン</t>
    </rPh>
    <rPh sb="3" eb="4">
      <t>スウ</t>
    </rPh>
    <rPh sb="6" eb="8">
      <t>チュウショウ</t>
    </rPh>
    <rPh sb="8" eb="10">
      <t>キギョウ</t>
    </rPh>
    <rPh sb="10" eb="13">
      <t>キホンホウ</t>
    </rPh>
    <rPh sb="14" eb="15">
      <t>サダ</t>
    </rPh>
    <rPh sb="17" eb="20">
      <t>ジュウギョウイン</t>
    </rPh>
    <rPh sb="20" eb="21">
      <t>スウ</t>
    </rPh>
    <phoneticPr fontId="2"/>
  </si>
  <si>
    <r>
      <t xml:space="preserve">法人の役員又は個人の事業主の数 </t>
    </r>
    <r>
      <rPr>
        <sz val="10"/>
        <rFont val="ＭＳ Ｐ明朝"/>
        <family val="1"/>
        <charset val="128"/>
      </rPr>
      <t>(外書)</t>
    </r>
    <rPh sb="0" eb="2">
      <t>ホウジン</t>
    </rPh>
    <rPh sb="3" eb="5">
      <t>ヤクイン</t>
    </rPh>
    <rPh sb="5" eb="6">
      <t>マタ</t>
    </rPh>
    <rPh sb="7" eb="9">
      <t>コジン</t>
    </rPh>
    <rPh sb="10" eb="13">
      <t>ジギョウヌシ</t>
    </rPh>
    <rPh sb="14" eb="15">
      <t>カズ</t>
    </rPh>
    <rPh sb="17" eb="18">
      <t>ソト</t>
    </rPh>
    <rPh sb="18" eb="19">
      <t>ショ</t>
    </rPh>
    <phoneticPr fontId="2"/>
  </si>
  <si>
    <r>
      <t>　※</t>
    </r>
    <r>
      <rPr>
        <u/>
        <sz val="10"/>
        <rFont val="ＭＳ Ｐゴシック"/>
        <family val="3"/>
        <charset val="128"/>
      </rPr>
      <t>「８」で「代理人を置く」を選択した場合は登録できません</t>
    </r>
    <r>
      <rPr>
        <sz val="10"/>
        <rFont val="ＭＳ Ｐゴシック"/>
        <family val="3"/>
        <charset val="128"/>
      </rPr>
      <t>。
　 　「８」で「代理人を置く」を選択した場合は、自動的に「登録しない」となります。</t>
    </r>
    <phoneticPr fontId="2"/>
  </si>
  <si>
    <t>２   「許認可等始期」「許認可等終期」欄については、許認可等の期間の始期を上段に、終期を下段に</t>
    <phoneticPr fontId="2"/>
  </si>
  <si>
    <r>
      <t>１   営業許認可等とは、</t>
    </r>
    <r>
      <rPr>
        <u/>
        <sz val="10"/>
        <rFont val="ＭＳ Ｐ明朝"/>
        <family val="1"/>
        <charset val="128"/>
      </rPr>
      <t>物品の販売等に必要不可欠な</t>
    </r>
    <r>
      <rPr>
        <sz val="10"/>
        <rFont val="ＭＳ Ｐ明朝"/>
        <family val="1"/>
        <charset val="128"/>
      </rPr>
      <t>許可、登録、認可、届出等をいいます。</t>
    </r>
    <rPh sb="4" eb="6">
      <t>エイギョウ</t>
    </rPh>
    <rPh sb="6" eb="9">
      <t>キョニンカ</t>
    </rPh>
    <rPh sb="9" eb="10">
      <t>トウ</t>
    </rPh>
    <rPh sb="13" eb="15">
      <t>ブッピン</t>
    </rPh>
    <rPh sb="16" eb="18">
      <t>ハンバイ</t>
    </rPh>
    <rPh sb="18" eb="19">
      <t>トウ</t>
    </rPh>
    <rPh sb="20" eb="22">
      <t>ヒツヨウ</t>
    </rPh>
    <rPh sb="22" eb="25">
      <t>フカケツ</t>
    </rPh>
    <rPh sb="26" eb="28">
      <t>キョカ</t>
    </rPh>
    <rPh sb="29" eb="31">
      <t>トウロク</t>
    </rPh>
    <rPh sb="32" eb="34">
      <t>ニンカ</t>
    </rPh>
    <rPh sb="35" eb="37">
      <t>トドケデ</t>
    </rPh>
    <rPh sb="37" eb="38">
      <t>トウ</t>
    </rPh>
    <phoneticPr fontId="2"/>
  </si>
  <si>
    <t>　 記載してください。期間のないものについては、許認可等を受けた年月日を上段に記載してください。</t>
    <phoneticPr fontId="2"/>
  </si>
  <si>
    <t>注　　「資本金」欄の金額は、原則として登記事項証明書と一致するものとしますが、登記事項証明書と</t>
    <rPh sb="0" eb="1">
      <t>チュウ</t>
    </rPh>
    <phoneticPr fontId="2"/>
  </si>
  <si>
    <t xml:space="preserve">   貸借対照表で異なる場合は、新しい方の金額としてください。</t>
    <phoneticPr fontId="2"/>
  </si>
  <si>
    <t>電話番号（市外局番から記入する）</t>
    <rPh sb="0" eb="2">
      <t>デンワ</t>
    </rPh>
    <rPh sb="5" eb="7">
      <t>シガイ</t>
    </rPh>
    <rPh sb="7" eb="9">
      <t>キョクバン</t>
    </rPh>
    <rPh sb="11" eb="13">
      <t>キニュウ</t>
    </rPh>
    <phoneticPr fontId="2"/>
  </si>
  <si>
    <r>
      <t>８　代理人の選定</t>
    </r>
    <r>
      <rPr>
        <b/>
        <sz val="10"/>
        <rFont val="ＭＳ Ｐゴシック"/>
        <family val="3"/>
        <charset val="128"/>
      </rPr>
      <t>（該当する項目を選択し、必要事項を記入してください。）</t>
    </r>
    <rPh sb="2" eb="5">
      <t>ダイリニン</t>
    </rPh>
    <rPh sb="6" eb="8">
      <t>センテイ</t>
    </rPh>
    <rPh sb="9" eb="11">
      <t>ガイトウ</t>
    </rPh>
    <rPh sb="13" eb="15">
      <t>コウモク</t>
    </rPh>
    <rPh sb="16" eb="18">
      <t>センタク</t>
    </rPh>
    <rPh sb="20" eb="22">
      <t>ヒツヨウ</t>
    </rPh>
    <rPh sb="22" eb="24">
      <t>ジコウ</t>
    </rPh>
    <rPh sb="25" eb="27">
      <t>キニュウ</t>
    </rPh>
    <phoneticPr fontId="2"/>
  </si>
  <si>
    <t>県使用欄</t>
    <rPh sb="0" eb="1">
      <t>ケン</t>
    </rPh>
    <rPh sb="1" eb="4">
      <t>シヨウラン</t>
    </rPh>
    <phoneticPr fontId="2"/>
  </si>
  <si>
    <t>県使用欄</t>
    <rPh sb="0" eb="4">
      <t>ケンシヨウラン</t>
    </rPh>
    <phoneticPr fontId="2"/>
  </si>
  <si>
    <t>上記５のうち、
指名競争入札の
参加を希望する
営業種目
【単位：中分類】</t>
    <phoneticPr fontId="2"/>
  </si>
  <si>
    <t>加入している</t>
    <rPh sb="0" eb="2">
      <t>カニュウ</t>
    </rPh>
    <phoneticPr fontId="2"/>
  </si>
  <si>
    <t>確認事項（該当するものを○で囲み、必要事項を記入してください。）</t>
    <rPh sb="0" eb="2">
      <t>カクニン</t>
    </rPh>
    <rPh sb="2" eb="4">
      <t>ジコウ</t>
    </rPh>
    <phoneticPr fontId="2"/>
  </si>
  <si>
    <t>加入していない</t>
    <rPh sb="0" eb="2">
      <t>カニュウ</t>
    </rPh>
    <phoneticPr fontId="2"/>
  </si>
  <si>
    <t>遵守している</t>
    <rPh sb="0" eb="2">
      <t>ジュンシュ</t>
    </rPh>
    <phoneticPr fontId="2"/>
  </si>
  <si>
    <t>(1)</t>
    <phoneticPr fontId="2"/>
  </si>
  <si>
    <t>遵守していない</t>
    <rPh sb="0" eb="2">
      <t>ジュンシュ</t>
    </rPh>
    <phoneticPr fontId="2"/>
  </si>
  <si>
    <r>
      <t xml:space="preserve">
社会保険について
</t>
    </r>
    <r>
      <rPr>
        <sz val="8"/>
        <rFont val="ＭＳ Ｐ明朝"/>
        <family val="1"/>
        <charset val="128"/>
      </rPr>
      <t>（健康保険・厚生年金保険）</t>
    </r>
    <rPh sb="1" eb="3">
      <t>シャカイ</t>
    </rPh>
    <rPh sb="3" eb="5">
      <t>ホケン</t>
    </rPh>
    <rPh sb="11" eb="13">
      <t>ケンコウ</t>
    </rPh>
    <rPh sb="13" eb="15">
      <t>ホケン</t>
    </rPh>
    <rPh sb="16" eb="18">
      <t>コウセイ</t>
    </rPh>
    <rPh sb="18" eb="20">
      <t>ネンキン</t>
    </rPh>
    <rPh sb="20" eb="22">
      <t>ホケン</t>
    </rPh>
    <phoneticPr fontId="2"/>
  </si>
  <si>
    <t>行っている</t>
    <rPh sb="0" eb="1">
      <t>オコナ</t>
    </rPh>
    <phoneticPr fontId="2"/>
  </si>
  <si>
    <t>(2)</t>
    <phoneticPr fontId="2"/>
  </si>
  <si>
    <t>行っていない</t>
    <rPh sb="0" eb="1">
      <t>オコナ</t>
    </rPh>
    <phoneticPr fontId="2"/>
  </si>
  <si>
    <r>
      <t xml:space="preserve">
労働保険について
</t>
    </r>
    <r>
      <rPr>
        <sz val="8"/>
        <rFont val="ＭＳ Ｐ明朝"/>
        <family val="1"/>
        <charset val="128"/>
      </rPr>
      <t>（雇用保険・労災保険）</t>
    </r>
    <rPh sb="1" eb="3">
      <t>ロウドウ</t>
    </rPh>
    <rPh sb="3" eb="5">
      <t>ホケン</t>
    </rPh>
    <rPh sb="11" eb="13">
      <t>コヨウ</t>
    </rPh>
    <rPh sb="13" eb="15">
      <t>ホケン</t>
    </rPh>
    <rPh sb="16" eb="18">
      <t>ロウサイ</t>
    </rPh>
    <rPh sb="18" eb="20">
      <t>ホケン</t>
    </rPh>
    <phoneticPr fontId="2"/>
  </si>
  <si>
    <t>なし</t>
    <phoneticPr fontId="2"/>
  </si>
  <si>
    <t>◯</t>
    <phoneticPr fontId="2"/>
  </si>
  <si>
    <t>(3)</t>
    <phoneticPr fontId="2"/>
  </si>
  <si>
    <t>あり</t>
    <phoneticPr fontId="2"/>
  </si>
  <si>
    <t xml:space="preserve">
最低賃金について</t>
    <rPh sb="1" eb="3">
      <t>サイテイ</t>
    </rPh>
    <rPh sb="3" eb="5">
      <t>チンギン</t>
    </rPh>
    <phoneticPr fontId="2"/>
  </si>
  <si>
    <t>(4)</t>
    <phoneticPr fontId="2"/>
  </si>
  <si>
    <t xml:space="preserve">
個人住民税の特別徴収について</t>
    <rPh sb="1" eb="3">
      <t>コジン</t>
    </rPh>
    <rPh sb="3" eb="6">
      <t>ジュウミンゼイ</t>
    </rPh>
    <rPh sb="7" eb="9">
      <t>トクベツ</t>
    </rPh>
    <rPh sb="9" eb="11">
      <t>チョウシュウ</t>
    </rPh>
    <phoneticPr fontId="2"/>
  </si>
  <si>
    <t>(5)</t>
    <phoneticPr fontId="2"/>
  </si>
  <si>
    <t>第１号様式　別紙５</t>
    <rPh sb="6" eb="8">
      <t>ベッシ</t>
    </rPh>
    <phoneticPr fontId="2"/>
  </si>
  <si>
    <t>別紙9のとおり</t>
    <rPh sb="0" eb="2">
      <t>ベッシ</t>
    </rPh>
    <phoneticPr fontId="2"/>
  </si>
  <si>
    <t>指名競争入札の参加希望営業種目（第１号様式 別紙４「営業種目表」を参照）</t>
    <rPh sb="0" eb="2">
      <t>シメイ</t>
    </rPh>
    <rPh sb="2" eb="4">
      <t>キョウソウ</t>
    </rPh>
    <rPh sb="4" eb="6">
      <t>ニュウサツ</t>
    </rPh>
    <rPh sb="7" eb="9">
      <t>サンカ</t>
    </rPh>
    <rPh sb="9" eb="11">
      <t>キボウ</t>
    </rPh>
    <rPh sb="11" eb="13">
      <t>エイギョウ</t>
    </rPh>
    <rPh sb="13" eb="15">
      <t>シュモク</t>
    </rPh>
    <phoneticPr fontId="2"/>
  </si>
  <si>
    <t>入札の参加希望営業種目（第１号様式 別紙４「営業種目表」を参照）</t>
    <rPh sb="0" eb="2">
      <t>ニュウサツ</t>
    </rPh>
    <rPh sb="3" eb="5">
      <t>サンカ</t>
    </rPh>
    <rPh sb="5" eb="7">
      <t>キボウ</t>
    </rPh>
    <rPh sb="7" eb="9">
      <t>エイギョウ</t>
    </rPh>
    <rPh sb="9" eb="11">
      <t>シュモク</t>
    </rPh>
    <rPh sb="12" eb="13">
      <t>ダイ</t>
    </rPh>
    <rPh sb="14" eb="15">
      <t>ゴウ</t>
    </rPh>
    <rPh sb="15" eb="17">
      <t>ヨウシキ</t>
    </rPh>
    <rPh sb="18" eb="20">
      <t>ベッシ</t>
    </rPh>
    <rPh sb="22" eb="24">
      <t>エイギョウ</t>
    </rPh>
    <rPh sb="24" eb="26">
      <t>シュモク</t>
    </rPh>
    <rPh sb="26" eb="27">
      <t>ヒョウ</t>
    </rPh>
    <rPh sb="29" eb="31">
      <t>サンショウ</t>
    </rPh>
    <phoneticPr fontId="2"/>
  </si>
  <si>
    <t>その他住所</t>
    <rPh sb="2" eb="3">
      <t>タ</t>
    </rPh>
    <rPh sb="3" eb="5">
      <t>ジュウショ</t>
    </rPh>
    <phoneticPr fontId="2"/>
  </si>
  <si>
    <r>
      <rPr>
        <b/>
        <u/>
        <sz val="11"/>
        <rFont val="ＭＳ Ｐゴシック"/>
        <family val="3"/>
        <charset val="128"/>
      </rPr>
      <t>「その他住所」を指定した場合のみ</t>
    </r>
    <r>
      <rPr>
        <sz val="11"/>
        <rFont val="ＭＳ Ｐゴシック"/>
        <family val="3"/>
        <charset val="128"/>
      </rPr>
      <t>、</t>
    </r>
    <r>
      <rPr>
        <sz val="11"/>
        <rFont val="ＭＳ Ｐ明朝"/>
        <family val="1"/>
        <charset val="128"/>
      </rPr>
      <t>以下に記入してください。</t>
    </r>
    <rPh sb="3" eb="4">
      <t>タ</t>
    </rPh>
    <rPh sb="4" eb="6">
      <t>ジュウショ</t>
    </rPh>
    <rPh sb="8" eb="10">
      <t>シテイ</t>
    </rPh>
    <rPh sb="12" eb="14">
      <t>バアイ</t>
    </rPh>
    <rPh sb="17" eb="19">
      <t>イカ</t>
    </rPh>
    <rPh sb="20" eb="22">
      <t>キニュウ</t>
    </rPh>
    <phoneticPr fontId="2"/>
  </si>
  <si>
    <t>本店住所</t>
    <rPh sb="0" eb="2">
      <t>ホンテン</t>
    </rPh>
    <rPh sb="2" eb="4">
      <t>ジュウショ</t>
    </rPh>
    <phoneticPr fontId="2"/>
  </si>
  <si>
    <t>□</t>
    <phoneticPr fontId="2"/>
  </si>
  <si>
    <t>■</t>
    <phoneticPr fontId="2"/>
  </si>
  <si>
    <t>□</t>
  </si>
  <si>
    <t>0101</t>
    <phoneticPr fontId="2"/>
  </si>
  <si>
    <t>0102</t>
    <phoneticPr fontId="2"/>
  </si>
  <si>
    <t>0201</t>
    <phoneticPr fontId="2"/>
  </si>
  <si>
    <t>0301</t>
    <phoneticPr fontId="2"/>
  </si>
  <si>
    <t>0302</t>
    <phoneticPr fontId="2"/>
  </si>
  <si>
    <t>0303</t>
    <phoneticPr fontId="2"/>
  </si>
  <si>
    <t>0304</t>
    <phoneticPr fontId="2"/>
  </si>
  <si>
    <t>0305</t>
    <phoneticPr fontId="2"/>
  </si>
  <si>
    <t>0401</t>
    <phoneticPr fontId="2"/>
  </si>
  <si>
    <t>0402</t>
    <phoneticPr fontId="2"/>
  </si>
  <si>
    <t>0403</t>
    <phoneticPr fontId="2"/>
  </si>
  <si>
    <t>0404</t>
    <phoneticPr fontId="2"/>
  </si>
  <si>
    <t>0405</t>
    <phoneticPr fontId="2"/>
  </si>
  <si>
    <t>0406</t>
    <phoneticPr fontId="2"/>
  </si>
  <si>
    <t>0407</t>
    <phoneticPr fontId="2"/>
  </si>
  <si>
    <t>0408</t>
    <phoneticPr fontId="2"/>
  </si>
  <si>
    <t>0409</t>
    <phoneticPr fontId="2"/>
  </si>
  <si>
    <t>0410</t>
    <phoneticPr fontId="2"/>
  </si>
  <si>
    <t>0411</t>
    <phoneticPr fontId="2"/>
  </si>
  <si>
    <t>0501</t>
    <phoneticPr fontId="2"/>
  </si>
  <si>
    <t>0502</t>
    <phoneticPr fontId="2"/>
  </si>
  <si>
    <t>0503</t>
    <phoneticPr fontId="2"/>
  </si>
  <si>
    <t>0601</t>
    <phoneticPr fontId="2"/>
  </si>
  <si>
    <t>0602</t>
    <phoneticPr fontId="2"/>
  </si>
  <si>
    <t>0603</t>
    <phoneticPr fontId="2"/>
  </si>
  <si>
    <t>0701</t>
    <phoneticPr fontId="2"/>
  </si>
  <si>
    <t>0801</t>
    <phoneticPr fontId="2"/>
  </si>
  <si>
    <t>0802</t>
    <phoneticPr fontId="2"/>
  </si>
  <si>
    <t>0803</t>
    <phoneticPr fontId="2"/>
  </si>
  <si>
    <t>0804</t>
    <phoneticPr fontId="2"/>
  </si>
  <si>
    <t>0805</t>
    <phoneticPr fontId="2"/>
  </si>
  <si>
    <t>0901</t>
    <phoneticPr fontId="2"/>
  </si>
  <si>
    <t>0902</t>
    <phoneticPr fontId="2"/>
  </si>
  <si>
    <t>0903</t>
    <phoneticPr fontId="2"/>
  </si>
  <si>
    <t>0904</t>
    <phoneticPr fontId="2"/>
  </si>
  <si>
    <t>0905</t>
    <phoneticPr fontId="2"/>
  </si>
  <si>
    <t>0906</t>
    <phoneticPr fontId="2"/>
  </si>
  <si>
    <t>0907</t>
    <phoneticPr fontId="2"/>
  </si>
  <si>
    <t>0908</t>
    <phoneticPr fontId="2"/>
  </si>
  <si>
    <t>0909</t>
    <phoneticPr fontId="2"/>
  </si>
  <si>
    <t>0910</t>
    <phoneticPr fontId="2"/>
  </si>
  <si>
    <t>0911</t>
    <phoneticPr fontId="2"/>
  </si>
  <si>
    <t>0912</t>
    <phoneticPr fontId="2"/>
  </si>
  <si>
    <t>0913</t>
    <phoneticPr fontId="2"/>
  </si>
  <si>
    <t>0914</t>
    <phoneticPr fontId="2"/>
  </si>
  <si>
    <t>別紙6のとおり</t>
    <rPh sb="0" eb="2">
      <t>ベッシ</t>
    </rPh>
    <phoneticPr fontId="2"/>
  </si>
  <si>
    <t xml:space="preserve"> 　　R5.3.31以前に期限が切れる場合で登録を希望する場合は、上記の欄は「該当なし」とし、</t>
    <rPh sb="10" eb="12">
      <t>イゼン</t>
    </rPh>
    <rPh sb="13" eb="15">
      <t>キゲン</t>
    </rPh>
    <rPh sb="16" eb="17">
      <t>キ</t>
    </rPh>
    <rPh sb="19" eb="21">
      <t>バアイ</t>
    </rPh>
    <rPh sb="22" eb="24">
      <t>トウロク</t>
    </rPh>
    <rPh sb="25" eb="27">
      <t>キボウ</t>
    </rPh>
    <rPh sb="29" eb="31">
      <t>バアイ</t>
    </rPh>
    <rPh sb="33" eb="35">
      <t>ジョウキ</t>
    </rPh>
    <rPh sb="36" eb="37">
      <t>ラン</t>
    </rPh>
    <rPh sb="39" eb="41">
      <t>ガイトウ</t>
    </rPh>
    <phoneticPr fontId="2"/>
  </si>
  <si>
    <r>
      <t>10　入札通知書の送付先</t>
    </r>
    <r>
      <rPr>
        <b/>
        <sz val="10"/>
        <rFont val="ＭＳ Ｐゴシック"/>
        <family val="3"/>
        <charset val="128"/>
      </rPr>
      <t>（指定する送付先１つを選択し、「その他住所」の場合は必要事項を記入してください。）</t>
    </r>
    <rPh sb="3" eb="5">
      <t>ニュウサツ</t>
    </rPh>
    <rPh sb="5" eb="7">
      <t>ツウチ</t>
    </rPh>
    <rPh sb="7" eb="8">
      <t>ショ</t>
    </rPh>
    <rPh sb="9" eb="11">
      <t>ソウフ</t>
    </rPh>
    <rPh sb="11" eb="12">
      <t>サキ</t>
    </rPh>
    <rPh sb="13" eb="15">
      <t>シテイ</t>
    </rPh>
    <rPh sb="17" eb="20">
      <t>ソウフサキ</t>
    </rPh>
    <rPh sb="23" eb="25">
      <t>センタク</t>
    </rPh>
    <rPh sb="30" eb="31">
      <t>タ</t>
    </rPh>
    <rPh sb="31" eb="33">
      <t>ジュウショ</t>
    </rPh>
    <rPh sb="35" eb="37">
      <t>バアイ</t>
    </rPh>
    <rPh sb="38" eb="40">
      <t>ヒツヨウ</t>
    </rPh>
    <rPh sb="40" eb="42">
      <t>ジコウ</t>
    </rPh>
    <rPh sb="43" eb="45">
      <t>キニュウ</t>
    </rPh>
    <phoneticPr fontId="2"/>
  </si>
  <si>
    <r>
      <t>２   代理人を選定した場合は、</t>
    </r>
    <r>
      <rPr>
        <sz val="10"/>
        <rFont val="ＭＳ Ｐゴシック"/>
        <family val="3"/>
        <charset val="128"/>
      </rPr>
      <t>代理人の名前で、契約、請求することとなります</t>
    </r>
    <r>
      <rPr>
        <sz val="10"/>
        <rFont val="ＭＳ Ｐ明朝"/>
        <family val="1"/>
        <charset val="128"/>
      </rPr>
      <t>。</t>
    </r>
    <rPh sb="4" eb="7">
      <t>ダイリニン</t>
    </rPh>
    <rPh sb="8" eb="10">
      <t>センテイ</t>
    </rPh>
    <rPh sb="12" eb="14">
      <t>バアイ</t>
    </rPh>
    <rPh sb="16" eb="19">
      <t>ダイリニン</t>
    </rPh>
    <rPh sb="20" eb="22">
      <t>ナマエ</t>
    </rPh>
    <rPh sb="24" eb="26">
      <t>ケイヤク</t>
    </rPh>
    <rPh sb="27" eb="29">
      <t>セイキュウ</t>
    </rPh>
    <phoneticPr fontId="2"/>
  </si>
  <si>
    <r>
      <t xml:space="preserve">４   </t>
    </r>
    <r>
      <rPr>
        <u/>
        <sz val="10"/>
        <rFont val="ＭＳ Ｐゴシック"/>
        <family val="3"/>
        <charset val="128"/>
      </rPr>
      <t>「支店等名称」は、「商号又は名称」から記載</t>
    </r>
    <r>
      <rPr>
        <sz val="10"/>
        <rFont val="ＭＳ Ｐ明朝"/>
        <family val="1"/>
        <charset val="128"/>
      </rPr>
      <t>してください。</t>
    </r>
    <rPh sb="5" eb="7">
      <t>シテン</t>
    </rPh>
    <rPh sb="7" eb="8">
      <t>トウ</t>
    </rPh>
    <rPh sb="8" eb="10">
      <t>メイショウ</t>
    </rPh>
    <rPh sb="14" eb="16">
      <t>ショウゴウ</t>
    </rPh>
    <rPh sb="16" eb="17">
      <t>マタ</t>
    </rPh>
    <rPh sb="18" eb="20">
      <t>メイショウ</t>
    </rPh>
    <rPh sb="23" eb="25">
      <t>キサイ</t>
    </rPh>
    <phoneticPr fontId="2"/>
  </si>
  <si>
    <t>代理人を置く場合は、代理人の印を使用することとなるため、代表者の使用印鑑は登録不要です。</t>
    <rPh sb="0" eb="3">
      <t>ダイリニン</t>
    </rPh>
    <rPh sb="4" eb="5">
      <t>オ</t>
    </rPh>
    <rPh sb="6" eb="8">
      <t>バアイ</t>
    </rPh>
    <rPh sb="10" eb="13">
      <t>ダイリニン</t>
    </rPh>
    <rPh sb="14" eb="15">
      <t>イン</t>
    </rPh>
    <rPh sb="16" eb="18">
      <t>シヨウ</t>
    </rPh>
    <rPh sb="28" eb="31">
      <t>ダイヒョウシャ</t>
    </rPh>
    <rPh sb="32" eb="34">
      <t>シヨウ</t>
    </rPh>
    <rPh sb="34" eb="36">
      <t>インカン</t>
    </rPh>
    <rPh sb="37" eb="39">
      <t>トウロク</t>
    </rPh>
    <rPh sb="39" eb="41">
      <t>フヨウ</t>
    </rPh>
    <phoneticPr fontId="2"/>
  </si>
  <si>
    <t>代理人を置かない場合で、入札当日の委任状、入札書、契約書、請求書の代表者印に実印以外</t>
    <rPh sb="0" eb="3">
      <t>ダイリニン</t>
    </rPh>
    <rPh sb="4" eb="5">
      <t>オ</t>
    </rPh>
    <rPh sb="8" eb="10">
      <t>バアイ</t>
    </rPh>
    <rPh sb="12" eb="14">
      <t>ニュウサツ</t>
    </rPh>
    <rPh sb="14" eb="16">
      <t>トウジツ</t>
    </rPh>
    <rPh sb="17" eb="19">
      <t>イニン</t>
    </rPh>
    <rPh sb="19" eb="20">
      <t>ジョウ</t>
    </rPh>
    <rPh sb="21" eb="23">
      <t>ニュウサツ</t>
    </rPh>
    <rPh sb="23" eb="24">
      <t>ショ</t>
    </rPh>
    <rPh sb="25" eb="27">
      <t>ケイヤク</t>
    </rPh>
    <rPh sb="27" eb="28">
      <t>ショ</t>
    </rPh>
    <rPh sb="29" eb="31">
      <t>セイキュウ</t>
    </rPh>
    <rPh sb="31" eb="32">
      <t>ショ</t>
    </rPh>
    <rPh sb="33" eb="36">
      <t>ダイヒョウシャ</t>
    </rPh>
    <rPh sb="36" eb="37">
      <t>イン</t>
    </rPh>
    <rPh sb="38" eb="40">
      <t>ジツイン</t>
    </rPh>
    <phoneticPr fontId="2"/>
  </si>
  <si>
    <t xml:space="preserve">  の印鑑を使用する場合に「登録する」を選択してください。</t>
    <rPh sb="3" eb="5">
      <t>インカン</t>
    </rPh>
    <rPh sb="6" eb="8">
      <t>シヨウ</t>
    </rPh>
    <rPh sb="10" eb="12">
      <t>バアイ</t>
    </rPh>
    <rPh sb="14" eb="16">
      <t>トウロク</t>
    </rPh>
    <rPh sb="20" eb="22">
      <t>センタク</t>
    </rPh>
    <phoneticPr fontId="2"/>
  </si>
  <si>
    <t>　軽印刷、平版印刷又はフォーム印刷の入札参加を希望するが、印刷機械を所持していない場合は、右欄に◯を付し→</t>
    <rPh sb="1" eb="2">
      <t>ケイ</t>
    </rPh>
    <rPh sb="2" eb="4">
      <t>インサツ</t>
    </rPh>
    <rPh sb="5" eb="7">
      <t>ヘイハン</t>
    </rPh>
    <rPh sb="7" eb="9">
      <t>インサツ</t>
    </rPh>
    <rPh sb="9" eb="10">
      <t>マタ</t>
    </rPh>
    <rPh sb="15" eb="17">
      <t>インサツ</t>
    </rPh>
    <rPh sb="18" eb="20">
      <t>ニュウサツ</t>
    </rPh>
    <rPh sb="20" eb="22">
      <t>サンカ</t>
    </rPh>
    <rPh sb="23" eb="25">
      <t>キボウ</t>
    </rPh>
    <rPh sb="29" eb="31">
      <t>インサツ</t>
    </rPh>
    <rPh sb="31" eb="33">
      <t>キカイ</t>
    </rPh>
    <rPh sb="34" eb="36">
      <t>ショジ</t>
    </rPh>
    <rPh sb="41" eb="43">
      <t>バアイ</t>
    </rPh>
    <rPh sb="45" eb="46">
      <t>ミギ</t>
    </rPh>
    <rPh sb="46" eb="47">
      <t>ラン</t>
    </rPh>
    <rPh sb="50" eb="51">
      <t>フ</t>
    </rPh>
    <phoneticPr fontId="2"/>
  </si>
  <si>
    <t>　　 認証等の更新後、R5.4.1以降に 変更届を提出してください。</t>
    <phoneticPr fontId="2"/>
  </si>
  <si>
    <r>
      <t>注　有効期限が</t>
    </r>
    <r>
      <rPr>
        <u/>
        <sz val="10"/>
        <rFont val="ＭＳ Ｐ明朝"/>
        <family val="1"/>
        <charset val="128"/>
      </rPr>
      <t>R5.3.31以前のものは登録できません</t>
    </r>
    <r>
      <rPr>
        <sz val="10"/>
        <rFont val="ＭＳ Ｐ明朝"/>
        <family val="1"/>
        <charset val="128"/>
      </rPr>
      <t>。有効期限を確認した上で記載してください。</t>
    </r>
    <rPh sb="0" eb="1">
      <t>チュウ</t>
    </rPh>
    <rPh sb="2" eb="4">
      <t>ユウコウ</t>
    </rPh>
    <rPh sb="4" eb="6">
      <t>キゲン</t>
    </rPh>
    <rPh sb="14" eb="16">
      <t>イゼン</t>
    </rPh>
    <rPh sb="20" eb="22">
      <t>トウロク</t>
    </rPh>
    <rPh sb="28" eb="30">
      <t>ユウコウ</t>
    </rPh>
    <rPh sb="30" eb="32">
      <t>キゲン</t>
    </rPh>
    <rPh sb="33" eb="35">
      <t>カクニン</t>
    </rPh>
    <rPh sb="37" eb="38">
      <t>ウエ</t>
    </rPh>
    <rPh sb="39" eb="41">
      <t>キサイ</t>
    </rPh>
    <phoneticPr fontId="2"/>
  </si>
  <si>
    <r>
      <t xml:space="preserve">加入していない場合、理由を記入してください。
</t>
    </r>
    <r>
      <rPr>
        <sz val="9"/>
        <rFont val="ＭＳ Ｐゴシック"/>
        <family val="3"/>
        <charset val="128"/>
      </rPr>
      <t>（例：労働時間が少ないので対象者に含まれない）</t>
    </r>
    <rPh sb="0" eb="2">
      <t>カニュウ</t>
    </rPh>
    <rPh sb="7" eb="9">
      <t>バアイ</t>
    </rPh>
    <rPh sb="10" eb="12">
      <t>リユウ</t>
    </rPh>
    <rPh sb="13" eb="15">
      <t>キニュウ</t>
    </rPh>
    <rPh sb="24" eb="25">
      <t>レイ</t>
    </rPh>
    <rPh sb="26" eb="28">
      <t>ロウドウ</t>
    </rPh>
    <rPh sb="28" eb="30">
      <t>ジカン</t>
    </rPh>
    <rPh sb="31" eb="32">
      <t>スク</t>
    </rPh>
    <rPh sb="36" eb="39">
      <t>タイショウシャ</t>
    </rPh>
    <rPh sb="40" eb="41">
      <t>フク</t>
    </rPh>
    <phoneticPr fontId="2"/>
  </si>
  <si>
    <t>加入して　　　　　　　　いる</t>
    <rPh sb="0" eb="2">
      <t>カニュウ</t>
    </rPh>
    <phoneticPr fontId="2"/>
  </si>
  <si>
    <t>加入して　　　　　　　　いない</t>
    <rPh sb="0" eb="2">
      <t>カニュウ</t>
    </rPh>
    <phoneticPr fontId="2"/>
  </si>
  <si>
    <r>
      <t xml:space="preserve">加入していない場合、理由を記入してください。
</t>
    </r>
    <r>
      <rPr>
        <sz val="9"/>
        <rFont val="ＭＳ Ｐゴシック"/>
        <family val="3"/>
        <charset val="128"/>
      </rPr>
      <t>（例：雇用している従業員がいないため）</t>
    </r>
    <rPh sb="0" eb="2">
      <t>カニュウ</t>
    </rPh>
    <rPh sb="7" eb="9">
      <t>バアイ</t>
    </rPh>
    <rPh sb="10" eb="12">
      <t>リユウ</t>
    </rPh>
    <rPh sb="13" eb="15">
      <t>キニュウ</t>
    </rPh>
    <rPh sb="24" eb="25">
      <t>レイ</t>
    </rPh>
    <rPh sb="26" eb="28">
      <t>コヨウ</t>
    </rPh>
    <rPh sb="32" eb="35">
      <t>ジュウギョウイン</t>
    </rPh>
    <phoneticPr fontId="2"/>
  </si>
  <si>
    <t>遵守して　　　　　いる</t>
    <rPh sb="0" eb="2">
      <t>ジュンシュ</t>
    </rPh>
    <phoneticPr fontId="2"/>
  </si>
  <si>
    <t>遵守して　　　　　　　　　いない</t>
    <rPh sb="0" eb="2">
      <t>ジュンシュ</t>
    </rPh>
    <phoneticPr fontId="2"/>
  </si>
  <si>
    <t>行って　　　　　　いる</t>
    <rPh sb="0" eb="1">
      <t>オコナ</t>
    </rPh>
    <phoneticPr fontId="2"/>
  </si>
  <si>
    <t>行って　　　　　　　いない</t>
    <rPh sb="0" eb="1">
      <t>オコナ</t>
    </rPh>
    <phoneticPr fontId="2"/>
  </si>
  <si>
    <t>該当ありの場合、内容を記入してください。</t>
    <rPh sb="0" eb="2">
      <t>ガイトウ</t>
    </rPh>
    <rPh sb="5" eb="7">
      <t>バアイ</t>
    </rPh>
    <rPh sb="8" eb="10">
      <t>ナイヨウ</t>
    </rPh>
    <rPh sb="11" eb="13">
      <t>キニュウ</t>
    </rPh>
    <phoneticPr fontId="2"/>
  </si>
  <si>
    <t xml:space="preserve">
過去１年間における指名停止措置要領第２条各号への該当</t>
    <rPh sb="1" eb="3">
      <t>カコ</t>
    </rPh>
    <rPh sb="4" eb="6">
      <t>ネンカン</t>
    </rPh>
    <rPh sb="10" eb="12">
      <t>シメイ</t>
    </rPh>
    <rPh sb="12" eb="14">
      <t>テイシ</t>
    </rPh>
    <rPh sb="14" eb="16">
      <t>ソチ</t>
    </rPh>
    <rPh sb="16" eb="18">
      <t>ヨウリョウ</t>
    </rPh>
    <rPh sb="18" eb="19">
      <t>ダイ</t>
    </rPh>
    <rPh sb="20" eb="21">
      <t>ジョウ</t>
    </rPh>
    <rPh sb="21" eb="23">
      <t>カクゴウ</t>
    </rPh>
    <rPh sb="25" eb="27">
      <t>ガイトウ</t>
    </rPh>
    <phoneticPr fontId="2"/>
  </si>
  <si>
    <t>（個人事業主は記載しない。）</t>
    <rPh sb="7" eb="9">
      <t>キサイ</t>
    </rPh>
    <phoneticPr fontId="2"/>
  </si>
  <si>
    <t>←プルダウンから選択してください。</t>
    <rPh sb="8" eb="10">
      <t>センタク</t>
    </rPh>
    <phoneticPr fontId="2"/>
  </si>
  <si>
    <t>サービス（その他）</t>
    <phoneticPr fontId="2"/>
  </si>
  <si>
    <t>サービス（その他）</t>
    <phoneticPr fontId="2"/>
  </si>
  <si>
    <t>津南町長　桑原　悠　　様</t>
    <rPh sb="0" eb="2">
      <t>ツナン</t>
    </rPh>
    <rPh sb="2" eb="3">
      <t>チョウ</t>
    </rPh>
    <rPh sb="3" eb="4">
      <t>チョウ</t>
    </rPh>
    <rPh sb="5" eb="7">
      <t>クワハラ</t>
    </rPh>
    <rPh sb="8" eb="9">
      <t>ハルカ</t>
    </rPh>
    <rPh sb="11" eb="12">
      <t>サマ</t>
    </rPh>
    <phoneticPr fontId="2"/>
  </si>
  <si>
    <t>*記入不要</t>
  </si>
  <si>
    <t>　令和６・７年度において、津南町で行われる下記の物品の購入、物品の製造の請負、借入及び役務等に係る一般競争入札、指名競争入札及び随意契約の協議に参加する資格の審査を受けたいので、関係書類を添えて申請します。
　なお、この申請書及び添付書類の内容については、事実と相違ないことを誓約します。</t>
    <rPh sb="39" eb="41">
      <t>カリイレ</t>
    </rPh>
    <rPh sb="41" eb="42">
      <t>オヨ</t>
    </rPh>
    <rPh sb="43" eb="45">
      <t>エキム</t>
    </rPh>
    <rPh sb="45" eb="46">
      <t>トウ</t>
    </rPh>
    <phoneticPr fontId="2"/>
  </si>
  <si>
    <t>物品の販売、物品の製造の請負、物品の賃貸借、役務の提供</t>
    <rPh sb="0" eb="2">
      <t>ブッピン</t>
    </rPh>
    <rPh sb="3" eb="5">
      <t>ハンバイ</t>
    </rPh>
    <rPh sb="6" eb="8">
      <t>ブッピン</t>
    </rPh>
    <rPh sb="9" eb="11">
      <t>セイゾウ</t>
    </rPh>
    <rPh sb="12" eb="14">
      <t>ウケオイ</t>
    </rPh>
    <rPh sb="15" eb="17">
      <t>ブッピン</t>
    </rPh>
    <rPh sb="18" eb="21">
      <t>チンタイシャク</t>
    </rPh>
    <rPh sb="19" eb="21">
      <t>タイシャク</t>
    </rPh>
    <rPh sb="22" eb="24">
      <t>エキム</t>
    </rPh>
    <rPh sb="25" eb="27">
      <t>テイキョウ</t>
    </rPh>
    <phoneticPr fontId="2"/>
  </si>
  <si>
    <t>役務の提供</t>
    <rPh sb="0" eb="2">
      <t>エキム</t>
    </rPh>
    <rPh sb="3" eb="5">
      <t>テイキョウ</t>
    </rPh>
    <phoneticPr fontId="2"/>
  </si>
  <si>
    <t>印刷・印章</t>
    <rPh sb="0" eb="2">
      <t>インサツ</t>
    </rPh>
    <rPh sb="3" eb="5">
      <t>インショウ</t>
    </rPh>
    <phoneticPr fontId="2"/>
  </si>
  <si>
    <t>一般印刷</t>
    <rPh sb="0" eb="2">
      <t>イッパン</t>
    </rPh>
    <rPh sb="2" eb="4">
      <t>インサツ</t>
    </rPh>
    <phoneticPr fontId="2"/>
  </si>
  <si>
    <t>地図作成</t>
    <rPh sb="0" eb="2">
      <t>チズ</t>
    </rPh>
    <rPh sb="2" eb="4">
      <t>サクセイ</t>
    </rPh>
    <phoneticPr fontId="2"/>
  </si>
  <si>
    <t>特殊印刷</t>
    <rPh sb="0" eb="2">
      <t>トクシュ</t>
    </rPh>
    <rPh sb="2" eb="4">
      <t>インサツ</t>
    </rPh>
    <phoneticPr fontId="2"/>
  </si>
  <si>
    <t>青写真、マイクロ写真</t>
    <rPh sb="0" eb="1">
      <t>アオ</t>
    </rPh>
    <rPh sb="1" eb="3">
      <t>シャシン</t>
    </rPh>
    <rPh sb="8" eb="10">
      <t>シャシン</t>
    </rPh>
    <phoneticPr fontId="2"/>
  </si>
  <si>
    <t>その他印刷・印章業務</t>
    <rPh sb="2" eb="3">
      <t>タ</t>
    </rPh>
    <rPh sb="3" eb="5">
      <t>インサツ</t>
    </rPh>
    <rPh sb="6" eb="8">
      <t>インショウ</t>
    </rPh>
    <rPh sb="8" eb="10">
      <t>ギョウム</t>
    </rPh>
    <phoneticPr fontId="2"/>
  </si>
  <si>
    <t>道路・公園・森林等</t>
    <rPh sb="0" eb="2">
      <t>ドウロ</t>
    </rPh>
    <rPh sb="3" eb="5">
      <t>コウエン</t>
    </rPh>
    <rPh sb="6" eb="8">
      <t>シンリン</t>
    </rPh>
    <rPh sb="8" eb="9">
      <t>トウ</t>
    </rPh>
    <phoneticPr fontId="2"/>
  </si>
  <si>
    <t>維持管理</t>
    <rPh sb="0" eb="2">
      <t>イジ</t>
    </rPh>
    <rPh sb="2" eb="4">
      <t>カンリ</t>
    </rPh>
    <phoneticPr fontId="2"/>
  </si>
  <si>
    <t>取　扱　業　務（取扱業務にチェックマークを付して下さい。）</t>
    <rPh sb="0" eb="1">
      <t>トリ</t>
    </rPh>
    <rPh sb="2" eb="3">
      <t>アツカ</t>
    </rPh>
    <rPh sb="4" eb="5">
      <t>ギョウ</t>
    </rPh>
    <rPh sb="6" eb="7">
      <t>ツトム</t>
    </rPh>
    <rPh sb="8" eb="10">
      <t>トリアツカ</t>
    </rPh>
    <rPh sb="10" eb="12">
      <t>ギョウム</t>
    </rPh>
    <rPh sb="21" eb="22">
      <t>フ</t>
    </rPh>
    <rPh sb="24" eb="25">
      <t>クダ</t>
    </rPh>
    <phoneticPr fontId="2"/>
  </si>
  <si>
    <t>道路・公園等の清掃</t>
    <rPh sb="0" eb="2">
      <t>ドウロ</t>
    </rPh>
    <rPh sb="3" eb="5">
      <t>コウエン</t>
    </rPh>
    <rPh sb="5" eb="6">
      <t>トウ</t>
    </rPh>
    <rPh sb="7" eb="9">
      <t>セイソウ</t>
    </rPh>
    <phoneticPr fontId="2"/>
  </si>
  <si>
    <t>樹木の維持管理</t>
    <rPh sb="0" eb="2">
      <t>ジュモク</t>
    </rPh>
    <rPh sb="3" eb="5">
      <t>イジ</t>
    </rPh>
    <rPh sb="5" eb="7">
      <t>カンリ</t>
    </rPh>
    <phoneticPr fontId="2"/>
  </si>
  <si>
    <t>駐車場管理</t>
    <rPh sb="0" eb="3">
      <t>チュウシャジョウ</t>
    </rPh>
    <rPh sb="3" eb="5">
      <t>カンリ</t>
    </rPh>
    <phoneticPr fontId="2"/>
  </si>
  <si>
    <t>森林伐採等</t>
    <rPh sb="0" eb="2">
      <t>シンリン</t>
    </rPh>
    <rPh sb="2" eb="4">
      <t>バッサイ</t>
    </rPh>
    <rPh sb="4" eb="5">
      <t>トウ</t>
    </rPh>
    <phoneticPr fontId="2"/>
  </si>
  <si>
    <t>その他道路・公園・森林等維持管理業務</t>
    <rPh sb="2" eb="3">
      <t>タ</t>
    </rPh>
    <rPh sb="3" eb="5">
      <t>ドウロ</t>
    </rPh>
    <rPh sb="6" eb="8">
      <t>コウエン</t>
    </rPh>
    <rPh sb="9" eb="11">
      <t>シンリン</t>
    </rPh>
    <rPh sb="11" eb="12">
      <t>トウ</t>
    </rPh>
    <rPh sb="12" eb="14">
      <t>イジ</t>
    </rPh>
    <rPh sb="14" eb="16">
      <t>カンリ</t>
    </rPh>
    <rPh sb="16" eb="18">
      <t>ギョウム</t>
    </rPh>
    <phoneticPr fontId="2"/>
  </si>
  <si>
    <t>保守点検</t>
    <rPh sb="0" eb="2">
      <t>ホシュ</t>
    </rPh>
    <rPh sb="2" eb="4">
      <t>テンケン</t>
    </rPh>
    <phoneticPr fontId="2"/>
  </si>
  <si>
    <t>電気設備保守点検</t>
    <rPh sb="0" eb="2">
      <t>デンキ</t>
    </rPh>
    <rPh sb="2" eb="4">
      <t>セツビ</t>
    </rPh>
    <rPh sb="4" eb="6">
      <t>ホシュ</t>
    </rPh>
    <rPh sb="6" eb="8">
      <t>テンケン</t>
    </rPh>
    <phoneticPr fontId="2"/>
  </si>
  <si>
    <t>通信設備保守点検</t>
    <rPh sb="0" eb="2">
      <t>ツウシン</t>
    </rPh>
    <rPh sb="2" eb="4">
      <t>セツビ</t>
    </rPh>
    <rPh sb="4" eb="6">
      <t>ホシュ</t>
    </rPh>
    <rPh sb="6" eb="8">
      <t>テンケン</t>
    </rPh>
    <phoneticPr fontId="2"/>
  </si>
  <si>
    <t>空調設備保守点検</t>
    <rPh sb="0" eb="2">
      <t>クウチョウ</t>
    </rPh>
    <rPh sb="2" eb="8">
      <t>セツビホシュテンケン</t>
    </rPh>
    <phoneticPr fontId="2"/>
  </si>
  <si>
    <t>電算機器保守点検</t>
    <rPh sb="0" eb="2">
      <t>デンサン</t>
    </rPh>
    <rPh sb="2" eb="4">
      <t>キキ</t>
    </rPh>
    <rPh sb="4" eb="6">
      <t>ホシュ</t>
    </rPh>
    <rPh sb="6" eb="8">
      <t>テンケン</t>
    </rPh>
    <phoneticPr fontId="2"/>
  </si>
  <si>
    <t>印刷機器保守点検</t>
    <rPh sb="0" eb="2">
      <t>インサツ</t>
    </rPh>
    <rPh sb="2" eb="4">
      <t>キキ</t>
    </rPh>
    <rPh sb="4" eb="6">
      <t>ホシュ</t>
    </rPh>
    <rPh sb="6" eb="8">
      <t>テンケン</t>
    </rPh>
    <phoneticPr fontId="2"/>
  </si>
  <si>
    <t>その他保守点検業務</t>
    <rPh sb="2" eb="3">
      <t>タ</t>
    </rPh>
    <rPh sb="3" eb="5">
      <t>ホシュ</t>
    </rPh>
    <rPh sb="5" eb="7">
      <t>テンケン</t>
    </rPh>
    <rPh sb="7" eb="9">
      <t>ギョウム</t>
    </rPh>
    <phoneticPr fontId="2"/>
  </si>
  <si>
    <t>検査・測定・調査業務</t>
    <rPh sb="0" eb="2">
      <t>ケンサ</t>
    </rPh>
    <rPh sb="3" eb="5">
      <t>ソクテイ</t>
    </rPh>
    <rPh sb="6" eb="8">
      <t>チョウサ</t>
    </rPh>
    <rPh sb="8" eb="10">
      <t>ギョウム</t>
    </rPh>
    <phoneticPr fontId="2"/>
  </si>
  <si>
    <t>大気・水質・土質検査</t>
    <rPh sb="0" eb="2">
      <t>タイキ</t>
    </rPh>
    <rPh sb="3" eb="5">
      <t>スイシツ</t>
    </rPh>
    <rPh sb="6" eb="7">
      <t>ツチ</t>
    </rPh>
    <rPh sb="7" eb="8">
      <t>シツ</t>
    </rPh>
    <rPh sb="8" eb="10">
      <t>ケンサ</t>
    </rPh>
    <phoneticPr fontId="2"/>
  </si>
  <si>
    <t>環境アセスメント調査</t>
    <rPh sb="0" eb="2">
      <t>カンキョウ</t>
    </rPh>
    <rPh sb="8" eb="10">
      <t>チョウサ</t>
    </rPh>
    <phoneticPr fontId="2"/>
  </si>
  <si>
    <t>理化学検査・分析</t>
    <rPh sb="0" eb="3">
      <t>リカガク</t>
    </rPh>
    <rPh sb="3" eb="5">
      <t>ケンサ</t>
    </rPh>
    <rPh sb="6" eb="8">
      <t>ブンセキ</t>
    </rPh>
    <phoneticPr fontId="2"/>
  </si>
  <si>
    <t>その他検査・測定業務</t>
    <rPh sb="2" eb="3">
      <t>タ</t>
    </rPh>
    <rPh sb="3" eb="5">
      <t>ケンサ</t>
    </rPh>
    <rPh sb="6" eb="8">
      <t>ソクテイ</t>
    </rPh>
    <rPh sb="8" eb="10">
      <t>ギョウム</t>
    </rPh>
    <phoneticPr fontId="2"/>
  </si>
  <si>
    <t>運送・運行</t>
    <rPh sb="0" eb="2">
      <t>ウンソウ</t>
    </rPh>
    <rPh sb="3" eb="5">
      <t>ウンコウ</t>
    </rPh>
    <phoneticPr fontId="2"/>
  </si>
  <si>
    <t>観光バス運行</t>
    <rPh sb="0" eb="2">
      <t>カンコウ</t>
    </rPh>
    <rPh sb="4" eb="6">
      <t>ウンコウ</t>
    </rPh>
    <phoneticPr fontId="2"/>
  </si>
  <si>
    <t>車両運転業務</t>
    <rPh sb="0" eb="2">
      <t>シャリョウ</t>
    </rPh>
    <rPh sb="2" eb="4">
      <t>ウンテン</t>
    </rPh>
    <rPh sb="4" eb="6">
      <t>ギョウム</t>
    </rPh>
    <phoneticPr fontId="2"/>
  </si>
  <si>
    <t>その他運送・運行業務</t>
    <rPh sb="2" eb="3">
      <t>タ</t>
    </rPh>
    <rPh sb="3" eb="5">
      <t>ウンソウ</t>
    </rPh>
    <rPh sb="6" eb="8">
      <t>ウンコウ</t>
    </rPh>
    <rPh sb="8" eb="10">
      <t>ギョウム</t>
    </rPh>
    <phoneticPr fontId="2"/>
  </si>
  <si>
    <t>給食</t>
    <rPh sb="0" eb="2">
      <t>キュウショク</t>
    </rPh>
    <phoneticPr fontId="2"/>
  </si>
  <si>
    <t>学校給食</t>
    <rPh sb="0" eb="2">
      <t>ガッコウ</t>
    </rPh>
    <rPh sb="2" eb="4">
      <t>キュウショク</t>
    </rPh>
    <phoneticPr fontId="2"/>
  </si>
  <si>
    <t>病院給食</t>
    <rPh sb="0" eb="2">
      <t>ビョウイン</t>
    </rPh>
    <rPh sb="2" eb="4">
      <t>キュウショク</t>
    </rPh>
    <phoneticPr fontId="2"/>
  </si>
  <si>
    <t>その他給食業務</t>
    <rPh sb="2" eb="3">
      <t>タ</t>
    </rPh>
    <rPh sb="3" eb="5">
      <t>キュウショク</t>
    </rPh>
    <rPh sb="5" eb="7">
      <t>ギョウム</t>
    </rPh>
    <phoneticPr fontId="2"/>
  </si>
  <si>
    <t>制作等</t>
    <rPh sb="0" eb="2">
      <t>セイサク</t>
    </rPh>
    <rPh sb="2" eb="3">
      <t>トウ</t>
    </rPh>
    <phoneticPr fontId="2"/>
  </si>
  <si>
    <t>ホームページ</t>
    <phoneticPr fontId="2"/>
  </si>
  <si>
    <t>パンフレット</t>
    <phoneticPr fontId="2"/>
  </si>
  <si>
    <t>看板・案内板</t>
    <rPh sb="0" eb="2">
      <t>カンバン</t>
    </rPh>
    <rPh sb="3" eb="6">
      <t>アンナイバン</t>
    </rPh>
    <phoneticPr fontId="2"/>
  </si>
  <si>
    <t>その他制作業務</t>
    <rPh sb="2" eb="3">
      <t>タ</t>
    </rPh>
    <rPh sb="3" eb="5">
      <t>セイサク</t>
    </rPh>
    <rPh sb="5" eb="7">
      <t>ギョウム</t>
    </rPh>
    <phoneticPr fontId="2"/>
  </si>
  <si>
    <t>計画策定</t>
    <rPh sb="0" eb="2">
      <t>ケイカク</t>
    </rPh>
    <rPh sb="2" eb="4">
      <t>サクテイ</t>
    </rPh>
    <phoneticPr fontId="2"/>
  </si>
  <si>
    <t>福祉計画</t>
    <rPh sb="0" eb="2">
      <t>フクシ</t>
    </rPh>
    <rPh sb="2" eb="4">
      <t>ケイカク</t>
    </rPh>
    <phoneticPr fontId="2"/>
  </si>
  <si>
    <t>総合計画</t>
    <rPh sb="0" eb="2">
      <t>ソウゴウ</t>
    </rPh>
    <rPh sb="2" eb="4">
      <t>ケイカク</t>
    </rPh>
    <phoneticPr fontId="2"/>
  </si>
  <si>
    <t>その他計画策定業務</t>
    <rPh sb="2" eb="3">
      <t>タ</t>
    </rPh>
    <rPh sb="3" eb="5">
      <t>ケイカク</t>
    </rPh>
    <rPh sb="5" eb="7">
      <t>サクテイ</t>
    </rPh>
    <rPh sb="7" eb="9">
      <t>ギョウム</t>
    </rPh>
    <phoneticPr fontId="2"/>
  </si>
  <si>
    <t>電算</t>
    <rPh sb="0" eb="2">
      <t>デンサン</t>
    </rPh>
    <phoneticPr fontId="2"/>
  </si>
  <si>
    <t>システム・プログラム開発</t>
    <rPh sb="10" eb="12">
      <t>カイハツ</t>
    </rPh>
    <phoneticPr fontId="2"/>
  </si>
  <si>
    <t>電算処理</t>
    <rPh sb="0" eb="2">
      <t>デンサン</t>
    </rPh>
    <rPh sb="2" eb="4">
      <t>ショリ</t>
    </rPh>
    <phoneticPr fontId="2"/>
  </si>
  <si>
    <t>システム保守</t>
    <rPh sb="4" eb="6">
      <t>ホシュ</t>
    </rPh>
    <phoneticPr fontId="2"/>
  </si>
  <si>
    <t>データ入力</t>
    <rPh sb="3" eb="5">
      <t>ニュウリョク</t>
    </rPh>
    <phoneticPr fontId="2"/>
  </si>
  <si>
    <t>その他電算業務</t>
    <rPh sb="2" eb="3">
      <t>タ</t>
    </rPh>
    <rPh sb="3" eb="5">
      <t>デンサン</t>
    </rPh>
    <rPh sb="5" eb="7">
      <t>ギョウム</t>
    </rPh>
    <phoneticPr fontId="2"/>
  </si>
  <si>
    <t>人材派遣</t>
    <rPh sb="0" eb="2">
      <t>ジンザイ</t>
    </rPh>
    <rPh sb="2" eb="4">
      <t>ハケン</t>
    </rPh>
    <phoneticPr fontId="2"/>
  </si>
  <si>
    <t>ストレスチェック</t>
    <phoneticPr fontId="2"/>
  </si>
  <si>
    <t>清掃業務</t>
    <rPh sb="0" eb="2">
      <t>セイソウ</t>
    </rPh>
    <rPh sb="2" eb="4">
      <t>ギョウム</t>
    </rPh>
    <phoneticPr fontId="2"/>
  </si>
  <si>
    <t>警備業務</t>
    <rPh sb="0" eb="2">
      <t>ケイビ</t>
    </rPh>
    <rPh sb="2" eb="4">
      <t>ギョウム</t>
    </rPh>
    <phoneticPr fontId="2"/>
  </si>
  <si>
    <t>物品の賃貸借</t>
    <rPh sb="0" eb="2">
      <t>ブッピン</t>
    </rPh>
    <rPh sb="3" eb="6">
      <t>チンタイシャク</t>
    </rPh>
    <phoneticPr fontId="2"/>
  </si>
  <si>
    <t>取　扱　品　目（取扱品目にチェックマークを付して下さい。）</t>
    <rPh sb="0" eb="1">
      <t>トリ</t>
    </rPh>
    <rPh sb="2" eb="3">
      <t>アツカ</t>
    </rPh>
    <rPh sb="4" eb="5">
      <t>ヒン</t>
    </rPh>
    <rPh sb="6" eb="7">
      <t>モク</t>
    </rPh>
    <rPh sb="8" eb="10">
      <t>トリアツカ</t>
    </rPh>
    <rPh sb="10" eb="12">
      <t>ヒンモク</t>
    </rPh>
    <rPh sb="21" eb="22">
      <t>フ</t>
    </rPh>
    <rPh sb="24" eb="25">
      <t>クダ</t>
    </rPh>
    <phoneticPr fontId="2"/>
  </si>
  <si>
    <t>コンピュータ機器</t>
    <rPh sb="6" eb="8">
      <t>キキ</t>
    </rPh>
    <phoneticPr fontId="2"/>
  </si>
  <si>
    <t>複写機・印刷機</t>
    <rPh sb="0" eb="3">
      <t>フクシャキ</t>
    </rPh>
    <rPh sb="4" eb="6">
      <t>インサツ</t>
    </rPh>
    <rPh sb="6" eb="7">
      <t>キ</t>
    </rPh>
    <phoneticPr fontId="2"/>
  </si>
  <si>
    <t>自動車</t>
    <rPh sb="0" eb="3">
      <t>ジドウシャ</t>
    </rPh>
    <phoneticPr fontId="2"/>
  </si>
  <si>
    <t>リース・レンタル</t>
    <phoneticPr fontId="2"/>
  </si>
  <si>
    <t>10</t>
    <phoneticPr fontId="2"/>
  </si>
  <si>
    <t>11</t>
  </si>
  <si>
    <t>11</t>
    <phoneticPr fontId="2"/>
  </si>
  <si>
    <t>役務の提供</t>
    <rPh sb="0" eb="2">
      <t>エキム</t>
    </rPh>
    <rPh sb="3" eb="5">
      <t>テイキョウ</t>
    </rPh>
    <phoneticPr fontId="2"/>
  </si>
  <si>
    <t>物品の賃貸借</t>
    <phoneticPr fontId="2"/>
  </si>
  <si>
    <t>道路・公園・森林等維持管理</t>
    <rPh sb="0" eb="2">
      <t>ドウロ</t>
    </rPh>
    <rPh sb="3" eb="5">
      <t>コウエン</t>
    </rPh>
    <rPh sb="6" eb="8">
      <t>シンリン</t>
    </rPh>
    <rPh sb="8" eb="9">
      <t>トウ</t>
    </rPh>
    <phoneticPr fontId="2"/>
  </si>
  <si>
    <t>役務の提供</t>
    <phoneticPr fontId="2"/>
  </si>
  <si>
    <t>1001</t>
    <phoneticPr fontId="2"/>
  </si>
  <si>
    <t>1002</t>
  </si>
  <si>
    <t>1003</t>
  </si>
  <si>
    <t>1004</t>
  </si>
  <si>
    <t>1005</t>
  </si>
  <si>
    <t>1006</t>
  </si>
  <si>
    <t>1007</t>
  </si>
  <si>
    <t>1008</t>
  </si>
  <si>
    <t>1009</t>
  </si>
  <si>
    <t>1010</t>
  </si>
  <si>
    <t>1101</t>
    <phoneticPr fontId="2"/>
  </si>
  <si>
    <t>リース・レンタル</t>
    <phoneticPr fontId="2"/>
  </si>
  <si>
    <t>物　品　等　入　札　参　加　資　格　審　査　申　請　書</t>
    <rPh sb="0" eb="1">
      <t>モノ</t>
    </rPh>
    <rPh sb="2" eb="3">
      <t>シナ</t>
    </rPh>
    <rPh sb="4" eb="5">
      <t>トウ</t>
    </rPh>
    <rPh sb="6" eb="7">
      <t>イリ</t>
    </rPh>
    <rPh sb="8" eb="9">
      <t>サツ</t>
    </rPh>
    <rPh sb="10" eb="11">
      <t>サン</t>
    </rPh>
    <rPh sb="12" eb="13">
      <t>カ</t>
    </rPh>
    <rPh sb="14" eb="15">
      <t>シ</t>
    </rPh>
    <rPh sb="16" eb="17">
      <t>カク</t>
    </rPh>
    <rPh sb="18" eb="19">
      <t>シン</t>
    </rPh>
    <rPh sb="20" eb="21">
      <t>サ</t>
    </rPh>
    <rPh sb="22" eb="23">
      <t>サル</t>
    </rPh>
    <rPh sb="24" eb="25">
      <t>ショウ</t>
    </rPh>
    <rPh sb="26" eb="27">
      <t>ショ</t>
    </rPh>
    <phoneticPr fontId="2"/>
  </si>
  <si>
    <t>５　物品販売等に係る営業許認可等</t>
    <rPh sb="2" eb="4">
      <t>ブッピン</t>
    </rPh>
    <rPh sb="4" eb="6">
      <t>ハンバイ</t>
    </rPh>
    <rPh sb="6" eb="7">
      <t>トウ</t>
    </rPh>
    <rPh sb="8" eb="9">
      <t>カカ</t>
    </rPh>
    <rPh sb="10" eb="12">
      <t>エイギョウ</t>
    </rPh>
    <rPh sb="12" eb="15">
      <t>キョニンカ</t>
    </rPh>
    <rPh sb="15" eb="1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</si>
</sst>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
    <numFmt numFmtId="177" formatCode="0000"/>
    <numFmt numFmtId="178" formatCode="00"/>
    <numFmt numFmtId="179" formatCode="[White][=1]&quot;1&quot;;[Red][&lt;&gt;1]&quot;いずれかを選択&quot;;General"/>
    <numFmt numFmtId="180" formatCode="[White][=1]&quot;1&quot;;[White][=0]&quot;0&quot;;[Red]&quot;←いずれかを選択&quot;"/>
    <numFmt numFmtId="181" formatCode="0_);[Red]\(0\)"/>
    <numFmt numFmtId="182" formatCode=";;;"/>
    <numFmt numFmtId="183" formatCode="[&lt;=999]000;[&lt;=9999]000\-00;000\-0000"/>
    <numFmt numFmtId="184" formatCode="[$-411]ggge&quot;年&quot;m&quot;月&quot;d&quot;日&quot;;@"/>
    <numFmt numFmtId="185" formatCode="###\-###"/>
    <numFmt numFmtId="186" formatCode="\(#\)"/>
    <numFmt numFmtId="187" formatCode="#,##0;\-#,##0;0"/>
  </numFmts>
  <fonts count="5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9"/>
      <name val="ＭＳ Ｐゴシック"/>
      <family val="3"/>
      <charset val="128"/>
    </font>
    <font>
      <sz val="11"/>
      <name val="ＭＳ Ｐ明朝"/>
      <family val="1"/>
      <charset val="128"/>
    </font>
    <font>
      <b/>
      <sz val="16"/>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b/>
      <sz val="11"/>
      <color indexed="10"/>
      <name val="ＭＳ Ｐゴシック"/>
      <family val="3"/>
      <charset val="128"/>
    </font>
    <font>
      <sz val="10"/>
      <name val="ＭＳ Ｐ明朝"/>
      <family val="1"/>
      <charset val="128"/>
    </font>
    <font>
      <sz val="11"/>
      <color indexed="9"/>
      <name val="ＭＳ Ｐ明朝"/>
      <family val="1"/>
      <charset val="128"/>
    </font>
    <font>
      <sz val="9"/>
      <name val="ＭＳ Ｐ明朝"/>
      <family val="1"/>
      <charset val="128"/>
    </font>
    <font>
      <b/>
      <sz val="9"/>
      <name val="ＭＳ Ｐゴシック"/>
      <family val="3"/>
      <charset val="128"/>
    </font>
    <font>
      <b/>
      <sz val="10"/>
      <name val="ＭＳ Ｐゴシック"/>
      <family val="3"/>
      <charset val="128"/>
    </font>
    <font>
      <sz val="16"/>
      <name val="ＭＳ Ｐ明朝"/>
      <family val="1"/>
      <charset val="128"/>
    </font>
    <font>
      <sz val="18"/>
      <name val="ＭＳ Ｐゴシック"/>
      <family val="3"/>
      <charset val="128"/>
    </font>
    <font>
      <sz val="8"/>
      <name val="ＭＳ Ｐ明朝"/>
      <family val="1"/>
      <charset val="128"/>
    </font>
    <font>
      <sz val="11"/>
      <name val="ＭＳ Ｐゴシック"/>
      <family val="3"/>
      <charset val="128"/>
    </font>
    <font>
      <sz val="9"/>
      <name val="ＭＳ Ｐゴシック"/>
      <family val="3"/>
      <charset val="128"/>
    </font>
    <font>
      <u/>
      <sz val="11"/>
      <name val="ＭＳ Ｐ明朝"/>
      <family val="1"/>
      <charset val="128"/>
    </font>
    <font>
      <sz val="11"/>
      <color indexed="10"/>
      <name val="ＭＳ Ｐゴシック"/>
      <family val="3"/>
      <charset val="128"/>
    </font>
    <font>
      <sz val="9"/>
      <color indexed="81"/>
      <name val="ＭＳ Ｐゴシック"/>
      <family val="3"/>
      <charset val="128"/>
    </font>
    <font>
      <sz val="11"/>
      <color indexed="43"/>
      <name val="ＭＳ Ｐゴシック"/>
      <family val="3"/>
      <charset val="128"/>
    </font>
    <font>
      <sz val="11"/>
      <name val="ＭＳ 明朝"/>
      <family val="1"/>
      <charset val="128"/>
    </font>
    <font>
      <b/>
      <u/>
      <sz val="11"/>
      <name val="ＭＳ Ｐゴシック"/>
      <family val="3"/>
      <charset val="128"/>
    </font>
    <font>
      <b/>
      <sz val="9"/>
      <color rgb="FFFF0000"/>
      <name val="ＭＳ Ｐゴシック"/>
      <family val="3"/>
      <charset val="128"/>
    </font>
    <font>
      <sz val="10"/>
      <color rgb="FFFF0000"/>
      <name val="ＭＳ Ｐ明朝"/>
      <family val="1"/>
      <charset val="128"/>
    </font>
    <font>
      <u/>
      <sz val="10"/>
      <name val="ＭＳ Ｐゴシック"/>
      <family val="3"/>
      <charset val="128"/>
    </font>
    <font>
      <sz val="6"/>
      <name val="ＭＳ Ｐ明朝"/>
      <family val="1"/>
      <charset val="128"/>
    </font>
    <font>
      <sz val="9"/>
      <color indexed="81"/>
      <name val="MS P ゴシック"/>
      <family val="3"/>
      <charset val="128"/>
    </font>
    <font>
      <b/>
      <sz val="14"/>
      <name val="ＭＳ Ｐ明朝"/>
      <family val="1"/>
      <charset val="128"/>
    </font>
    <font>
      <sz val="9"/>
      <color rgb="FFFF0000"/>
      <name val="ＭＳ Ｐゴシック"/>
      <family val="3"/>
      <charset val="128"/>
    </font>
    <font>
      <b/>
      <sz val="9"/>
      <color theme="1"/>
      <name val="ＭＳ Ｐゴシック"/>
      <family val="3"/>
      <charset val="128"/>
    </font>
    <font>
      <sz val="11"/>
      <color indexed="8"/>
      <name val="ＭＳ Ｐゴシック"/>
      <family val="3"/>
      <charset val="128"/>
    </font>
    <font>
      <sz val="11"/>
      <color theme="1"/>
      <name val="ＭＳ Ｐ明朝"/>
      <family val="1"/>
      <charset val="128"/>
    </font>
    <font>
      <sz val="6"/>
      <name val="ＭＳ Ｐゴシック"/>
      <family val="2"/>
      <charset val="128"/>
      <scheme val="minor"/>
    </font>
    <font>
      <sz val="10.5"/>
      <name val="ＭＳ Ｐ明朝"/>
      <family val="1"/>
      <charset val="128"/>
    </font>
    <font>
      <sz val="8"/>
      <color rgb="FFFF0000"/>
      <name val="ＭＳ Ｐゴシック"/>
      <family val="3"/>
      <charset val="128"/>
    </font>
    <font>
      <b/>
      <sz val="10"/>
      <color rgb="FFFF0000"/>
      <name val="ＭＳ Ｐゴシック"/>
      <family val="3"/>
      <charset val="128"/>
    </font>
    <font>
      <b/>
      <u/>
      <sz val="12"/>
      <name val="ＭＳ Ｐゴシック"/>
      <family val="3"/>
      <charset val="128"/>
    </font>
    <font>
      <u/>
      <sz val="10"/>
      <name val="ＭＳ Ｐ明朝"/>
      <family val="1"/>
      <charset val="128"/>
    </font>
    <font>
      <b/>
      <sz val="28"/>
      <color theme="1"/>
      <name val="ＭＳ Ｐゴシック"/>
      <family val="3"/>
      <charset val="128"/>
    </font>
    <font>
      <sz val="14"/>
      <name val="ＭＳ Ｐ明朝"/>
      <family val="1"/>
      <charset val="128"/>
    </font>
    <font>
      <sz val="11"/>
      <color indexed="43"/>
      <name val="ＭＳ Ｐ明朝"/>
      <family val="1"/>
      <charset val="128"/>
    </font>
    <font>
      <sz val="11"/>
      <color theme="0" tint="-0.34998626667073579"/>
      <name val="ＭＳ Ｐゴシック"/>
      <family val="3"/>
      <charset val="128"/>
    </font>
    <font>
      <b/>
      <sz val="9"/>
      <color indexed="81"/>
      <name val="MS P ゴシック"/>
      <family val="3"/>
      <charset val="128"/>
    </font>
    <font>
      <sz val="10"/>
      <color theme="0" tint="-0.34998626667073579"/>
      <name val="ＭＳ Ｐゴシック"/>
      <family val="3"/>
      <charset val="128"/>
    </font>
    <font>
      <b/>
      <sz val="11"/>
      <color theme="0" tint="-0.34998626667073579"/>
      <name val="ＭＳ Ｐゴシック"/>
      <family val="3"/>
      <charset val="128"/>
    </font>
    <font>
      <sz val="8"/>
      <color theme="0" tint="-0.34998626667073579"/>
      <name val="ＭＳ Ｐゴシック"/>
      <family val="3"/>
      <charset val="128"/>
    </font>
    <font>
      <sz val="11"/>
      <color theme="0" tint="-0.34998626667073579"/>
      <name val="ＭＳ Ｐ明朝"/>
      <family val="1"/>
      <charset val="128"/>
    </font>
    <font>
      <sz val="9"/>
      <color theme="0" tint="-0.34998626667073579"/>
      <name val="ＭＳ Ｐゴシック"/>
      <family val="3"/>
      <charset val="128"/>
    </font>
    <font>
      <sz val="10"/>
      <color theme="0" tint="-0.34998626667073579"/>
      <name val="ＭＳ Ｐ明朝"/>
      <family val="1"/>
      <charset val="128"/>
    </font>
    <font>
      <sz val="9"/>
      <color theme="0" tint="-0.34998626667073579"/>
      <name val="ＭＳ Ｐ明朝"/>
      <family val="1"/>
      <charset val="128"/>
    </font>
    <font>
      <sz val="8"/>
      <name val="ＭＳ Ｐゴシック"/>
      <family val="3"/>
      <charset val="128"/>
    </font>
    <font>
      <sz val="10"/>
      <name val="ＭＳ 明朝"/>
      <family val="1"/>
      <charset val="128"/>
    </font>
    <font>
      <u/>
      <sz val="11"/>
      <color theme="1"/>
      <name val="ＭＳ Ｐゴシック"/>
      <family val="3"/>
      <charset val="128"/>
    </font>
    <font>
      <sz val="1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s>
  <borders count="92">
    <border>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9"/>
      </right>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35" fillId="0" borderId="0"/>
  </cellStyleXfs>
  <cellXfs count="951">
    <xf numFmtId="0" fontId="0" fillId="0" borderId="0" xfId="0">
      <alignment vertical="center"/>
    </xf>
    <xf numFmtId="0" fontId="3" fillId="2" borderId="0" xfId="0" applyFont="1" applyFill="1" applyProtection="1">
      <alignment vertical="center"/>
    </xf>
    <xf numFmtId="0" fontId="0" fillId="2" borderId="0" xfId="0" applyFill="1" applyProtection="1">
      <alignment vertical="center"/>
    </xf>
    <xf numFmtId="0" fontId="17" fillId="2" borderId="0" xfId="0" applyFont="1" applyFill="1" applyBorder="1" applyAlignment="1" applyProtection="1">
      <alignment horizontal="center" vertical="center" shrinkToFit="1"/>
    </xf>
    <xf numFmtId="0" fontId="5" fillId="2" borderId="0" xfId="0" applyFont="1" applyFill="1" applyProtection="1">
      <alignment vertical="center"/>
    </xf>
    <xf numFmtId="0" fontId="8" fillId="2" borderId="0" xfId="0" applyFont="1" applyFill="1" applyProtection="1">
      <alignment vertical="center"/>
    </xf>
    <xf numFmtId="0" fontId="0" fillId="2" borderId="0" xfId="0" applyFill="1" applyBorder="1" applyProtection="1">
      <alignment vertical="center"/>
    </xf>
    <xf numFmtId="0" fontId="0" fillId="2" borderId="0" xfId="0" applyFill="1" applyBorder="1" applyAlignment="1" applyProtection="1">
      <alignment horizontal="center" vertical="center" shrinkToFit="1"/>
    </xf>
    <xf numFmtId="0" fontId="5" fillId="2" borderId="0" xfId="0" applyFont="1" applyFill="1" applyBorder="1" applyAlignment="1" applyProtection="1">
      <alignment vertical="center"/>
    </xf>
    <xf numFmtId="0" fontId="5" fillId="2" borderId="0" xfId="0" applyFont="1" applyFill="1" applyBorder="1" applyAlignment="1" applyProtection="1">
      <alignment vertical="center" shrinkToFit="1"/>
    </xf>
    <xf numFmtId="0" fontId="0" fillId="2" borderId="0" xfId="0" applyFill="1" applyAlignment="1" applyProtection="1">
      <alignment horizontal="left" vertical="top" wrapText="1"/>
    </xf>
    <xf numFmtId="0" fontId="1" fillId="2" borderId="0" xfId="0" applyFont="1" applyFill="1" applyAlignment="1" applyProtection="1">
      <alignment horizontal="left" vertical="top"/>
    </xf>
    <xf numFmtId="0" fontId="5" fillId="2" borderId="0" xfId="0" applyFont="1" applyFill="1" applyAlignment="1" applyProtection="1">
      <alignment vertical="top" wrapText="1"/>
    </xf>
    <xf numFmtId="0" fontId="5" fillId="2" borderId="0" xfId="0" applyFont="1" applyFill="1" applyAlignment="1" applyProtection="1">
      <alignment vertical="center"/>
    </xf>
    <xf numFmtId="0" fontId="0" fillId="2" borderId="0" xfId="0" applyFont="1" applyFill="1" applyAlignment="1" applyProtection="1">
      <alignment horizontal="left"/>
    </xf>
    <xf numFmtId="0" fontId="5" fillId="2" borderId="0" xfId="0" applyFont="1" applyFill="1" applyAlignment="1" applyProtection="1">
      <alignment horizontal="left" wrapText="1"/>
    </xf>
    <xf numFmtId="0" fontId="5" fillId="2" borderId="0" xfId="0" applyFont="1" applyFill="1" applyAlignment="1" applyProtection="1">
      <alignment wrapText="1"/>
    </xf>
    <xf numFmtId="0" fontId="5" fillId="2" borderId="0" xfId="0" applyFont="1" applyFill="1" applyBorder="1" applyProtection="1">
      <alignment vertical="center"/>
    </xf>
    <xf numFmtId="0" fontId="0" fillId="2" borderId="1" xfId="0" applyFill="1" applyBorder="1" applyProtection="1">
      <alignment vertical="center"/>
    </xf>
    <xf numFmtId="178" fontId="5" fillId="2" borderId="5" xfId="0" applyNumberFormat="1" applyFont="1" applyFill="1" applyBorder="1" applyAlignment="1" applyProtection="1">
      <alignment horizontal="center" vertical="center"/>
    </xf>
    <xf numFmtId="178" fontId="5" fillId="2" borderId="0" xfId="0" applyNumberFormat="1"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1" fillId="2" borderId="0" xfId="0" applyFont="1" applyFill="1" applyAlignment="1" applyProtection="1">
      <alignment horizontal="left" vertical="center"/>
    </xf>
    <xf numFmtId="0" fontId="0" fillId="2" borderId="39" xfId="0" applyFont="1" applyFill="1" applyBorder="1" applyAlignment="1" applyProtection="1">
      <alignment horizontal="left" vertical="center"/>
    </xf>
    <xf numFmtId="178" fontId="5" fillId="2" borderId="10" xfId="0" applyNumberFormat="1" applyFont="1" applyFill="1" applyBorder="1" applyAlignment="1" applyProtection="1">
      <alignment horizontal="center" vertical="center"/>
    </xf>
    <xf numFmtId="0" fontId="1" fillId="2" borderId="0" xfId="0" applyFont="1" applyFill="1" applyProtection="1">
      <alignment vertical="center"/>
    </xf>
    <xf numFmtId="0" fontId="12" fillId="2" borderId="0" xfId="0" applyFont="1" applyFill="1" applyBorder="1" applyProtection="1">
      <alignment vertical="center"/>
    </xf>
    <xf numFmtId="0" fontId="11" fillId="2" borderId="0" xfId="0" applyFont="1" applyFill="1" applyProtection="1">
      <alignment vertical="center"/>
    </xf>
    <xf numFmtId="0" fontId="3" fillId="2" borderId="0" xfId="0" applyFont="1" applyFill="1" applyBorder="1" applyAlignment="1" applyProtection="1">
      <alignment horizontal="center" vertical="center"/>
    </xf>
    <xf numFmtId="0" fontId="14" fillId="2" borderId="0" xfId="0" applyFont="1" applyFill="1" applyBorder="1" applyAlignment="1" applyProtection="1">
      <alignment vertical="center"/>
    </xf>
    <xf numFmtId="0" fontId="27" fillId="2" borderId="0" xfId="0" applyFont="1" applyFill="1" applyBorder="1" applyAlignment="1" applyProtection="1">
      <alignment vertical="center"/>
    </xf>
    <xf numFmtId="0" fontId="28" fillId="2" borderId="0" xfId="0" applyFont="1" applyFill="1" applyBorder="1" applyProtection="1">
      <alignment vertical="center"/>
    </xf>
    <xf numFmtId="0" fontId="28" fillId="2" borderId="0" xfId="0" applyFont="1" applyFill="1" applyProtection="1">
      <alignment vertical="center"/>
    </xf>
    <xf numFmtId="0" fontId="14" fillId="2" borderId="13" xfId="0" applyFont="1" applyFill="1" applyBorder="1" applyAlignment="1" applyProtection="1">
      <alignment vertical="center"/>
    </xf>
    <xf numFmtId="0" fontId="11" fillId="2" borderId="13" xfId="0" applyFont="1" applyFill="1" applyBorder="1" applyProtection="1">
      <alignment vertical="center"/>
    </xf>
    <xf numFmtId="0" fontId="13" fillId="2" borderId="1" xfId="0" applyFont="1" applyFill="1" applyBorder="1" applyProtection="1">
      <alignment vertical="center"/>
    </xf>
    <xf numFmtId="0" fontId="13" fillId="2" borderId="19" xfId="0" applyFont="1" applyFill="1" applyBorder="1" applyProtection="1">
      <alignment vertical="center"/>
    </xf>
    <xf numFmtId="0" fontId="13" fillId="2" borderId="0" xfId="0" applyFont="1" applyFill="1" applyBorder="1" applyProtection="1">
      <alignment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vertical="center" textRotation="255"/>
    </xf>
    <xf numFmtId="0" fontId="13" fillId="2" borderId="6" xfId="0" applyFont="1" applyFill="1" applyBorder="1" applyProtection="1">
      <alignment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vertical="center" textRotation="255" shrinkToFit="1"/>
    </xf>
    <xf numFmtId="0" fontId="13" fillId="2" borderId="0"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13" fillId="2" borderId="0" xfId="0" applyFont="1" applyFill="1" applyProtection="1">
      <alignment vertical="center"/>
    </xf>
    <xf numFmtId="0" fontId="5" fillId="2" borderId="6" xfId="0" applyFont="1" applyFill="1" applyBorder="1" applyAlignment="1" applyProtection="1">
      <alignment horizontal="left" vertical="center"/>
    </xf>
    <xf numFmtId="0" fontId="4" fillId="2" borderId="0" xfId="0" applyFont="1" applyFill="1" applyBorder="1" applyProtection="1">
      <alignment vertical="center"/>
    </xf>
    <xf numFmtId="182" fontId="24" fillId="3" borderId="19" xfId="0" applyNumberFormat="1" applyFont="1" applyFill="1" applyBorder="1" applyProtection="1">
      <alignment vertical="center"/>
      <protection locked="0"/>
    </xf>
    <xf numFmtId="0" fontId="5" fillId="2" borderId="6" xfId="0" applyFont="1" applyFill="1" applyBorder="1" applyAlignment="1" applyProtection="1">
      <alignment vertical="center"/>
    </xf>
    <xf numFmtId="0" fontId="0" fillId="2" borderId="6" xfId="0" applyFill="1" applyBorder="1" applyProtection="1">
      <alignment vertical="center"/>
    </xf>
    <xf numFmtId="0" fontId="0" fillId="2" borderId="64" xfId="0" applyFill="1" applyBorder="1" applyProtection="1">
      <alignment vertical="center"/>
    </xf>
    <xf numFmtId="0" fontId="5" fillId="2" borderId="34" xfId="0" applyFont="1" applyFill="1" applyBorder="1" applyAlignment="1" applyProtection="1">
      <alignment vertical="center"/>
    </xf>
    <xf numFmtId="0" fontId="5" fillId="2" borderId="19" xfId="0" applyFont="1" applyFill="1" applyBorder="1" applyAlignment="1" applyProtection="1">
      <alignment vertical="center"/>
    </xf>
    <xf numFmtId="0" fontId="8" fillId="2" borderId="0" xfId="0" applyFont="1" applyFill="1" applyAlignment="1" applyProtection="1">
      <alignment horizontal="center" vertical="top" wrapText="1"/>
    </xf>
    <xf numFmtId="0" fontId="5" fillId="3" borderId="39" xfId="0" applyNumberFormat="1" applyFont="1" applyFill="1" applyBorder="1" applyAlignment="1" applyProtection="1">
      <alignment horizontal="center" vertical="center"/>
      <protection locked="0"/>
    </xf>
    <xf numFmtId="0" fontId="5" fillId="3" borderId="56" xfId="0" applyNumberFormat="1" applyFont="1" applyFill="1" applyBorder="1" applyAlignment="1" applyProtection="1">
      <alignment vertical="center"/>
      <protection locked="0"/>
    </xf>
    <xf numFmtId="0" fontId="5" fillId="3" borderId="59" xfId="0" applyNumberFormat="1" applyFont="1" applyFill="1" applyBorder="1" applyAlignment="1" applyProtection="1">
      <alignment vertical="center"/>
      <protection locked="0"/>
    </xf>
    <xf numFmtId="177" fontId="0" fillId="2" borderId="0" xfId="0" applyNumberFormat="1" applyFill="1" applyProtection="1">
      <alignment vertical="center"/>
    </xf>
    <xf numFmtId="184" fontId="5" fillId="0" borderId="39" xfId="0" applyNumberFormat="1" applyFont="1" applyFill="1" applyBorder="1" applyAlignment="1" applyProtection="1">
      <alignment vertical="center"/>
    </xf>
    <xf numFmtId="0" fontId="5" fillId="2" borderId="39" xfId="0" applyFont="1" applyFill="1" applyBorder="1" applyProtection="1">
      <alignment vertical="center"/>
    </xf>
    <xf numFmtId="184" fontId="5" fillId="0" borderId="52" xfId="0" applyNumberFormat="1" applyFont="1" applyFill="1" applyBorder="1" applyAlignment="1" applyProtection="1">
      <alignment vertical="center"/>
    </xf>
    <xf numFmtId="0" fontId="0" fillId="0" borderId="0" xfId="0" applyProtection="1">
      <alignment vertical="center"/>
    </xf>
    <xf numFmtId="185" fontId="16" fillId="0" borderId="0" xfId="0" applyNumberFormat="1" applyFont="1" applyFill="1" applyBorder="1" applyAlignment="1" applyProtection="1">
      <alignment vertical="center" shrinkToFit="1"/>
    </xf>
    <xf numFmtId="0" fontId="0" fillId="2" borderId="0" xfId="0" applyFill="1" applyBorder="1" applyAlignment="1" applyProtection="1">
      <alignment vertical="center"/>
    </xf>
    <xf numFmtId="49" fontId="0" fillId="2" borderId="0" xfId="0" applyNumberFormat="1" applyFill="1" applyProtection="1">
      <alignment vertical="center"/>
    </xf>
    <xf numFmtId="0" fontId="5" fillId="3" borderId="39" xfId="0" applyFont="1" applyFill="1" applyBorder="1" applyAlignment="1" applyProtection="1">
      <alignment horizontal="center" vertical="center"/>
      <protection locked="0"/>
    </xf>
    <xf numFmtId="49" fontId="0" fillId="2" borderId="0" xfId="0" applyNumberFormat="1" applyFill="1" applyAlignment="1" applyProtection="1">
      <alignment horizontal="left" vertical="center"/>
    </xf>
    <xf numFmtId="183" fontId="5" fillId="0" borderId="48" xfId="0" applyNumberFormat="1" applyFont="1" applyFill="1" applyBorder="1" applyAlignment="1" applyProtection="1">
      <alignment vertical="center"/>
    </xf>
    <xf numFmtId="0" fontId="11" fillId="2" borderId="0" xfId="0" applyFont="1" applyFill="1" applyAlignment="1" applyProtection="1">
      <alignment vertical="top"/>
    </xf>
    <xf numFmtId="0" fontId="11" fillId="2" borderId="0" xfId="0" applyFont="1" applyFill="1" applyAlignment="1" applyProtection="1">
      <alignment horizontal="left" vertical="center"/>
    </xf>
    <xf numFmtId="0" fontId="0" fillId="2" borderId="0" xfId="0" applyFont="1" applyFill="1" applyProtection="1">
      <alignment vertical="center"/>
    </xf>
    <xf numFmtId="0" fontId="5" fillId="2" borderId="9" xfId="0" applyFont="1" applyFill="1" applyBorder="1" applyAlignment="1" applyProtection="1">
      <alignment horizontal="left" vertical="center"/>
    </xf>
    <xf numFmtId="0" fontId="5" fillId="2" borderId="8" xfId="0" applyFont="1" applyFill="1" applyBorder="1" applyProtection="1">
      <alignment vertical="center"/>
    </xf>
    <xf numFmtId="0" fontId="0" fillId="2" borderId="5" xfId="0" applyFill="1" applyBorder="1" applyProtection="1">
      <alignment vertical="center"/>
    </xf>
    <xf numFmtId="0" fontId="0" fillId="2" borderId="8" xfId="0" applyFill="1" applyBorder="1" applyProtection="1">
      <alignment vertical="center"/>
    </xf>
    <xf numFmtId="0" fontId="5" fillId="2" borderId="5" xfId="0" applyFont="1" applyFill="1" applyBorder="1" applyProtection="1">
      <alignment vertical="center"/>
    </xf>
    <xf numFmtId="0" fontId="0" fillId="2" borderId="0" xfId="0" applyFont="1" applyFill="1" applyBorder="1" applyProtection="1">
      <alignment vertical="center"/>
    </xf>
    <xf numFmtId="0" fontId="0" fillId="2" borderId="14" xfId="0" applyFill="1" applyBorder="1" applyAlignment="1" applyProtection="1">
      <alignment vertical="center"/>
    </xf>
    <xf numFmtId="0" fontId="5" fillId="2" borderId="9" xfId="0" applyFont="1" applyFill="1" applyBorder="1" applyProtection="1">
      <alignment vertical="center"/>
    </xf>
    <xf numFmtId="0" fontId="21" fillId="2" borderId="9" xfId="0" applyFont="1" applyFill="1" applyBorder="1" applyProtection="1">
      <alignment vertical="center"/>
    </xf>
    <xf numFmtId="0" fontId="5" fillId="2" borderId="15" xfId="0" applyFont="1" applyFill="1" applyBorder="1" applyProtection="1">
      <alignment vertical="center"/>
    </xf>
    <xf numFmtId="0" fontId="5" fillId="2" borderId="16" xfId="0" applyFont="1" applyFill="1" applyBorder="1" applyProtection="1">
      <alignment vertical="center"/>
    </xf>
    <xf numFmtId="0" fontId="5" fillId="2" borderId="13" xfId="0" applyFont="1" applyFill="1" applyBorder="1" applyProtection="1">
      <alignment vertical="center"/>
    </xf>
    <xf numFmtId="0" fontId="5" fillId="2" borderId="17" xfId="0" applyFont="1" applyFill="1" applyBorder="1" applyProtection="1">
      <alignment vertical="center"/>
    </xf>
    <xf numFmtId="0" fontId="1" fillId="2" borderId="22" xfId="2" applyFont="1" applyFill="1" applyBorder="1" applyAlignment="1" applyProtection="1">
      <alignment horizontal="center"/>
      <protection locked="0"/>
    </xf>
    <xf numFmtId="0" fontId="1" fillId="2" borderId="0" xfId="2" applyFont="1" applyFill="1" applyBorder="1" applyAlignment="1" applyProtection="1">
      <alignment horizontal="center"/>
      <protection locked="0"/>
    </xf>
    <xf numFmtId="0" fontId="4" fillId="2" borderId="22" xfId="2" applyFont="1" applyFill="1" applyBorder="1" applyAlignment="1" applyProtection="1">
      <alignment horizontal="center"/>
      <protection locked="0"/>
    </xf>
    <xf numFmtId="0" fontId="1" fillId="2" borderId="27" xfId="2" applyFont="1" applyFill="1" applyBorder="1" applyAlignment="1" applyProtection="1">
      <alignment horizontal="center"/>
      <protection locked="0"/>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0" fillId="2" borderId="9" xfId="0" applyFill="1" applyBorder="1" applyAlignment="1" applyProtection="1">
      <alignment vertical="center"/>
    </xf>
    <xf numFmtId="0" fontId="0" fillId="2" borderId="19" xfId="0" applyFill="1" applyBorder="1" applyProtection="1">
      <alignment vertical="center"/>
    </xf>
    <xf numFmtId="0" fontId="5" fillId="2" borderId="6"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5" fillId="2" borderId="0" xfId="0" applyFont="1" applyFill="1" applyAlignment="1" applyProtection="1">
      <alignment horizontal="left" vertical="center"/>
    </xf>
    <xf numFmtId="0" fontId="0" fillId="2" borderId="0" xfId="0" applyFill="1" applyAlignment="1" applyProtection="1">
      <alignment horizontal="left" vertical="center"/>
    </xf>
    <xf numFmtId="0" fontId="5" fillId="3" borderId="6"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textRotation="255"/>
    </xf>
    <xf numFmtId="0" fontId="5" fillId="2" borderId="9" xfId="0" applyFont="1" applyFill="1" applyBorder="1" applyAlignment="1" applyProtection="1">
      <alignment horizontal="center" vertical="center" textRotation="255"/>
    </xf>
    <xf numFmtId="0" fontId="13"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1" fillId="2" borderId="10" xfId="2" applyFont="1" applyFill="1" applyBorder="1" applyAlignment="1" applyProtection="1">
      <alignment horizontal="center"/>
      <protection locked="0"/>
    </xf>
    <xf numFmtId="0" fontId="1" fillId="2" borderId="28" xfId="2" applyFont="1" applyFill="1" applyBorder="1" applyAlignment="1" applyProtection="1">
      <alignment horizontal="center"/>
      <protection locked="0"/>
    </xf>
    <xf numFmtId="0" fontId="1" fillId="2" borderId="9" xfId="2" applyFont="1" applyFill="1" applyBorder="1" applyAlignment="1" applyProtection="1">
      <alignment horizontal="center"/>
      <protection locked="0"/>
    </xf>
    <xf numFmtId="0" fontId="1" fillId="2" borderId="24" xfId="2" applyFont="1" applyFill="1" applyBorder="1" applyAlignment="1" applyProtection="1">
      <alignment horizontal="center"/>
      <protection locked="0"/>
    </xf>
    <xf numFmtId="0" fontId="51" fillId="2" borderId="0" xfId="0" applyFont="1" applyFill="1" applyProtection="1">
      <alignment vertical="center"/>
    </xf>
    <xf numFmtId="0" fontId="48" fillId="2" borderId="0" xfId="0" applyFont="1" applyFill="1" applyProtection="1">
      <alignment vertical="center"/>
    </xf>
    <xf numFmtId="0" fontId="52" fillId="2" borderId="0" xfId="0" applyFont="1" applyFill="1" applyProtection="1">
      <alignment vertical="center"/>
    </xf>
    <xf numFmtId="0" fontId="53" fillId="2" borderId="0" xfId="0" applyFont="1" applyFill="1" applyProtection="1">
      <alignment vertical="center"/>
    </xf>
    <xf numFmtId="0" fontId="54" fillId="2" borderId="0" xfId="0" applyFont="1" applyFill="1" applyProtection="1">
      <alignment vertical="center"/>
    </xf>
    <xf numFmtId="0" fontId="5" fillId="0" borderId="12" xfId="0" applyFont="1" applyFill="1" applyBorder="1" applyAlignment="1" applyProtection="1">
      <alignment horizontal="left" vertical="center"/>
    </xf>
    <xf numFmtId="0" fontId="39" fillId="2" borderId="0" xfId="0" applyFont="1" applyFill="1" applyProtection="1">
      <alignment vertical="center"/>
    </xf>
    <xf numFmtId="0" fontId="4" fillId="2" borderId="0" xfId="0" applyFont="1" applyFill="1" applyProtection="1">
      <alignment vertical="center"/>
    </xf>
    <xf numFmtId="0" fontId="0" fillId="2" borderId="0" xfId="0" quotePrefix="1" applyNumberFormat="1" applyFill="1" applyProtection="1">
      <alignment vertical="center"/>
    </xf>
    <xf numFmtId="186" fontId="5" fillId="2" borderId="7" xfId="0" applyNumberFormat="1" applyFont="1" applyFill="1" applyBorder="1" applyAlignment="1" applyProtection="1">
      <alignment horizontal="center" vertical="center"/>
    </xf>
    <xf numFmtId="186" fontId="5" fillId="2" borderId="7"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xf>
    <xf numFmtId="0" fontId="5" fillId="2" borderId="21" xfId="0" applyFont="1" applyFill="1" applyBorder="1" applyProtection="1">
      <alignment vertical="center"/>
    </xf>
    <xf numFmtId="0" fontId="5" fillId="2" borderId="6" xfId="0" applyFont="1" applyFill="1" applyBorder="1" applyProtection="1">
      <alignment vertical="center"/>
    </xf>
    <xf numFmtId="179" fontId="0" fillId="2" borderId="8" xfId="0" applyNumberFormat="1" applyFill="1" applyBorder="1" applyProtection="1">
      <alignment vertical="center"/>
    </xf>
    <xf numFmtId="180" fontId="3" fillId="2" borderId="0" xfId="0" applyNumberFormat="1" applyFont="1" applyFill="1" applyAlignment="1" applyProtection="1">
      <alignment vertical="center"/>
    </xf>
    <xf numFmtId="180" fontId="1" fillId="2" borderId="0" xfId="0" applyNumberFormat="1" applyFont="1" applyFill="1" applyAlignment="1" applyProtection="1">
      <alignment vertical="center"/>
    </xf>
    <xf numFmtId="0" fontId="35" fillId="0" borderId="0" xfId="4" applyFont="1" applyFill="1" applyBorder="1" applyAlignment="1" applyProtection="1">
      <alignment wrapText="1"/>
    </xf>
    <xf numFmtId="0" fontId="35" fillId="0" borderId="0" xfId="4" applyFont="1" applyFill="1" applyBorder="1" applyAlignment="1" applyProtection="1">
      <alignment horizontal="right" wrapText="1"/>
    </xf>
    <xf numFmtId="180" fontId="3" fillId="2" borderId="33" xfId="0" applyNumberFormat="1" applyFont="1" applyFill="1" applyBorder="1" applyAlignment="1" applyProtection="1">
      <alignment vertical="center"/>
    </xf>
    <xf numFmtId="181" fontId="4" fillId="2" borderId="0" xfId="0" applyNumberFormat="1" applyFont="1" applyFill="1" applyAlignment="1" applyProtection="1">
      <alignment vertical="center"/>
    </xf>
    <xf numFmtId="181" fontId="4" fillId="2" borderId="33" xfId="0" applyNumberFormat="1" applyFont="1" applyFill="1" applyBorder="1" applyAlignment="1" applyProtection="1">
      <alignment vertical="center"/>
    </xf>
    <xf numFmtId="0" fontId="11" fillId="2" borderId="6" xfId="0" applyFont="1" applyFill="1" applyBorder="1" applyAlignment="1" applyProtection="1">
      <alignment horizontal="right" vertical="center"/>
    </xf>
    <xf numFmtId="0" fontId="11" fillId="2" borderId="1" xfId="0" applyFont="1" applyFill="1" applyBorder="1" applyAlignment="1" applyProtection="1">
      <alignment horizontal="right" vertical="center"/>
    </xf>
    <xf numFmtId="0" fontId="0" fillId="2" borderId="13" xfId="0" applyFill="1" applyBorder="1" applyProtection="1">
      <alignment vertical="center"/>
    </xf>
    <xf numFmtId="0" fontId="0" fillId="2" borderId="17" xfId="0" applyFill="1" applyBorder="1" applyProtection="1">
      <alignment vertical="center"/>
    </xf>
    <xf numFmtId="0" fontId="19" fillId="2" borderId="0" xfId="0" applyFont="1" applyFill="1" applyProtection="1">
      <alignment vertical="center"/>
    </xf>
    <xf numFmtId="0" fontId="3" fillId="2" borderId="0" xfId="0" applyFont="1" applyFill="1" applyAlignment="1" applyProtection="1">
      <alignment horizontal="left" vertical="center"/>
    </xf>
    <xf numFmtId="0" fontId="5" fillId="0" borderId="14" xfId="0" applyFont="1" applyFill="1" applyBorder="1" applyProtection="1">
      <alignment vertical="center"/>
    </xf>
    <xf numFmtId="0" fontId="5" fillId="0" borderId="9" xfId="0" applyFont="1" applyFill="1" applyBorder="1" applyProtection="1">
      <alignment vertical="center"/>
    </xf>
    <xf numFmtId="0" fontId="0" fillId="0" borderId="9" xfId="0" applyFill="1" applyBorder="1" applyProtection="1">
      <alignment vertical="center"/>
    </xf>
    <xf numFmtId="0" fontId="0" fillId="0" borderId="15" xfId="0" applyFill="1" applyBorder="1" applyProtection="1">
      <alignment vertical="center"/>
    </xf>
    <xf numFmtId="0" fontId="5" fillId="0" borderId="0" xfId="0" applyNumberFormat="1" applyFont="1" applyFill="1" applyBorder="1" applyAlignment="1" applyProtection="1">
      <alignment vertical="center"/>
    </xf>
    <xf numFmtId="14" fontId="4" fillId="2" borderId="0" xfId="0" applyNumberFormat="1" applyFont="1" applyFill="1" applyBorder="1" applyAlignment="1" applyProtection="1">
      <alignment horizontal="left" vertical="center" wrapText="1"/>
    </xf>
    <xf numFmtId="14" fontId="0" fillId="2" borderId="0" xfId="0" applyNumberFormat="1" applyFont="1" applyFill="1" applyAlignment="1" applyProtection="1">
      <alignment vertical="center"/>
    </xf>
    <xf numFmtId="14" fontId="4" fillId="2" borderId="0" xfId="0" applyNumberFormat="1" applyFont="1" applyFill="1" applyAlignment="1" applyProtection="1">
      <alignment vertical="center"/>
    </xf>
    <xf numFmtId="0" fontId="5" fillId="0" borderId="16" xfId="0" applyFont="1" applyFill="1" applyBorder="1" applyProtection="1">
      <alignment vertical="center"/>
    </xf>
    <xf numFmtId="0" fontId="5" fillId="0" borderId="13" xfId="0" applyFont="1" applyFill="1" applyBorder="1" applyProtection="1">
      <alignment vertical="center"/>
    </xf>
    <xf numFmtId="0" fontId="0" fillId="0" borderId="13" xfId="0" applyFill="1" applyBorder="1" applyProtection="1">
      <alignment vertical="center"/>
    </xf>
    <xf numFmtId="14" fontId="4" fillId="0" borderId="13" xfId="0" applyNumberFormat="1" applyFont="1" applyFill="1" applyBorder="1" applyAlignment="1" applyProtection="1">
      <alignment horizontal="left" vertical="center" wrapText="1"/>
    </xf>
    <xf numFmtId="0" fontId="0" fillId="0" borderId="17" xfId="0" applyFill="1" applyBorder="1" applyProtection="1">
      <alignment vertical="center"/>
    </xf>
    <xf numFmtId="0" fontId="5" fillId="0" borderId="56" xfId="0" applyNumberFormat="1" applyFont="1" applyFill="1" applyBorder="1" applyAlignment="1" applyProtection="1">
      <alignment vertical="center"/>
    </xf>
    <xf numFmtId="0" fontId="5" fillId="0" borderId="55" xfId="0" applyNumberFormat="1" applyFont="1" applyFill="1" applyBorder="1" applyAlignment="1" applyProtection="1">
      <alignment vertical="center"/>
    </xf>
    <xf numFmtId="14" fontId="22" fillId="2" borderId="0" xfId="0" applyNumberFormat="1" applyFont="1" applyFill="1" applyAlignment="1" applyProtection="1">
      <alignment vertical="center"/>
    </xf>
    <xf numFmtId="0" fontId="5" fillId="0" borderId="59" xfId="0" applyNumberFormat="1" applyFont="1" applyFill="1" applyBorder="1" applyAlignment="1" applyProtection="1">
      <alignment vertical="center"/>
    </xf>
    <xf numFmtId="0" fontId="5" fillId="0" borderId="60" xfId="0" applyNumberFormat="1" applyFont="1" applyFill="1" applyBorder="1" applyAlignment="1" applyProtection="1">
      <alignment vertical="center"/>
    </xf>
    <xf numFmtId="57" fontId="4" fillId="2" borderId="0" xfId="0" applyNumberFormat="1" applyFont="1" applyFill="1" applyAlignment="1" applyProtection="1">
      <alignment vertical="center"/>
    </xf>
    <xf numFmtId="0" fontId="5" fillId="2" borderId="14" xfId="0" applyFont="1" applyFill="1" applyBorder="1" applyProtection="1">
      <alignment vertical="center"/>
    </xf>
    <xf numFmtId="0" fontId="11" fillId="2" borderId="0" xfId="0" applyFont="1" applyFill="1" applyBorder="1" applyProtection="1">
      <alignment vertical="center"/>
    </xf>
    <xf numFmtId="0" fontId="5" fillId="2" borderId="1" xfId="0" applyFont="1" applyFill="1" applyBorder="1" applyProtection="1">
      <alignment vertical="center"/>
    </xf>
    <xf numFmtId="0" fontId="5" fillId="2" borderId="14" xfId="0" applyFont="1" applyFill="1" applyBorder="1" applyAlignment="1" applyProtection="1">
      <alignment vertical="center"/>
    </xf>
    <xf numFmtId="0" fontId="5" fillId="2" borderId="9" xfId="0" applyFont="1" applyFill="1" applyBorder="1" applyAlignment="1" applyProtection="1">
      <alignment vertical="center" wrapText="1"/>
    </xf>
    <xf numFmtId="0" fontId="0" fillId="2" borderId="9" xfId="0" applyFont="1" applyFill="1" applyBorder="1" applyAlignment="1" applyProtection="1">
      <alignment vertical="center"/>
    </xf>
    <xf numFmtId="0" fontId="5" fillId="2" borderId="15" xfId="0" applyFont="1" applyFill="1" applyBorder="1" applyAlignment="1" applyProtection="1">
      <alignment vertical="center" wrapText="1"/>
    </xf>
    <xf numFmtId="0" fontId="5" fillId="2" borderId="5" xfId="0" applyFont="1" applyFill="1" applyBorder="1" applyAlignment="1" applyProtection="1">
      <alignment vertical="center"/>
    </xf>
    <xf numFmtId="0" fontId="11" fillId="2" borderId="0" xfId="0" applyFont="1" applyFill="1" applyBorder="1" applyAlignment="1" applyProtection="1">
      <alignment horizontal="left" vertical="center"/>
    </xf>
    <xf numFmtId="0" fontId="5" fillId="2" borderId="8" xfId="0" applyFont="1" applyFill="1" applyBorder="1" applyAlignment="1" applyProtection="1">
      <alignment vertical="center"/>
    </xf>
    <xf numFmtId="0" fontId="5" fillId="2" borderId="5" xfId="0" applyFont="1" applyFill="1" applyBorder="1" applyAlignment="1" applyProtection="1">
      <alignment vertical="center" wrapText="1"/>
    </xf>
    <xf numFmtId="0" fontId="5" fillId="2" borderId="16"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13" xfId="0" applyFont="1" applyFill="1" applyBorder="1" applyAlignment="1" applyProtection="1">
      <alignment vertical="center"/>
    </xf>
    <xf numFmtId="0" fontId="5" fillId="2" borderId="17"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11" fillId="2" borderId="0" xfId="0" applyFont="1" applyFill="1" applyBorder="1" applyAlignment="1" applyProtection="1">
      <alignment vertical="center"/>
    </xf>
    <xf numFmtId="0" fontId="11" fillId="2" borderId="0"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178" fontId="1" fillId="2" borderId="40" xfId="2" applyNumberFormat="1" applyFill="1" applyBorder="1" applyAlignment="1" applyProtection="1">
      <alignment horizontal="centerContinuous" vertical="center"/>
    </xf>
    <xf numFmtId="0" fontId="1" fillId="2" borderId="20" xfId="2" applyFill="1" applyBorder="1" applyAlignment="1" applyProtection="1">
      <alignment horizontal="centerContinuous" vertical="center" shrinkToFit="1"/>
    </xf>
    <xf numFmtId="0" fontId="1" fillId="2" borderId="41" xfId="2" applyFill="1" applyBorder="1" applyAlignment="1" applyProtection="1">
      <alignment horizontal="centerContinuous" vertical="center"/>
    </xf>
    <xf numFmtId="0" fontId="1" fillId="2" borderId="10" xfId="2" applyFill="1" applyBorder="1" applyProtection="1"/>
    <xf numFmtId="178" fontId="1" fillId="2" borderId="10" xfId="2" applyNumberFormat="1" applyFill="1" applyBorder="1" applyProtection="1"/>
    <xf numFmtId="0" fontId="1" fillId="2" borderId="10" xfId="2" applyFill="1" applyBorder="1" applyAlignment="1" applyProtection="1">
      <alignment shrinkToFit="1"/>
    </xf>
    <xf numFmtId="178" fontId="1" fillId="0" borderId="10" xfId="2" applyNumberFormat="1" applyFill="1" applyBorder="1" applyProtection="1"/>
    <xf numFmtId="0" fontId="1" fillId="0" borderId="10" xfId="2" applyFill="1" applyBorder="1" applyAlignment="1" applyProtection="1">
      <alignment shrinkToFit="1"/>
    </xf>
    <xf numFmtId="0" fontId="1" fillId="0" borderId="10" xfId="2" applyFill="1" applyBorder="1" applyProtection="1"/>
    <xf numFmtId="0" fontId="1" fillId="2" borderId="11" xfId="2" applyFill="1" applyBorder="1" applyAlignment="1" applyProtection="1">
      <alignment shrinkToFit="1"/>
    </xf>
    <xf numFmtId="0" fontId="8" fillId="2" borderId="0" xfId="2" applyFont="1" applyFill="1" applyAlignment="1" applyProtection="1">
      <alignment horizontal="center" vertical="center"/>
    </xf>
    <xf numFmtId="0" fontId="1" fillId="2" borderId="0" xfId="2" applyFill="1" applyProtection="1"/>
    <xf numFmtId="0" fontId="0" fillId="2" borderId="0" xfId="2" applyFont="1" applyFill="1" applyAlignment="1" applyProtection="1">
      <alignment horizontal="center"/>
    </xf>
    <xf numFmtId="178" fontId="1" fillId="2" borderId="79" xfId="2" applyNumberFormat="1" applyFill="1" applyBorder="1" applyAlignment="1" applyProtection="1">
      <alignment horizontal="center" vertical="top" textRotation="255" shrinkToFit="1"/>
    </xf>
    <xf numFmtId="0" fontId="1" fillId="2" borderId="53" xfId="2" applyFont="1" applyFill="1" applyBorder="1" applyAlignment="1" applyProtection="1">
      <alignment horizontal="center" vertical="center" shrinkToFit="1"/>
    </xf>
    <xf numFmtId="0" fontId="1" fillId="2" borderId="13" xfId="2" applyFill="1" applyBorder="1" applyAlignment="1" applyProtection="1">
      <alignment horizontal="center" vertical="top" textRotation="255" shrinkToFit="1"/>
    </xf>
    <xf numFmtId="0" fontId="1" fillId="2" borderId="47" xfId="2" applyFont="1" applyFill="1" applyBorder="1" applyAlignment="1" applyProtection="1">
      <alignment horizontal="center" vertical="center" shrinkToFit="1"/>
    </xf>
    <xf numFmtId="0" fontId="1" fillId="2" borderId="13" xfId="2" applyFont="1" applyFill="1" applyBorder="1" applyAlignment="1" applyProtection="1">
      <alignment horizontal="centerContinuous" vertical="top"/>
    </xf>
    <xf numFmtId="178" fontId="1" fillId="2" borderId="13" xfId="2" applyNumberFormat="1" applyFill="1" applyBorder="1" applyAlignment="1" applyProtection="1">
      <alignment horizontal="centerContinuous" vertical="top"/>
    </xf>
    <xf numFmtId="0" fontId="1" fillId="2" borderId="13" xfId="2" applyFill="1" applyBorder="1" applyAlignment="1" applyProtection="1">
      <alignment horizontal="centerContinuous" vertical="top" shrinkToFit="1"/>
    </xf>
    <xf numFmtId="0" fontId="1" fillId="2" borderId="13" xfId="2" applyFill="1" applyBorder="1" applyAlignment="1" applyProtection="1">
      <alignment horizontal="centerContinuous" vertical="top"/>
    </xf>
    <xf numFmtId="178" fontId="1" fillId="0" borderId="13" xfId="2" applyNumberFormat="1" applyFill="1" applyBorder="1" applyAlignment="1" applyProtection="1">
      <alignment horizontal="centerContinuous" vertical="top"/>
    </xf>
    <xf numFmtId="0" fontId="1" fillId="0" borderId="13" xfId="2" applyFill="1" applyBorder="1" applyAlignment="1" applyProtection="1">
      <alignment horizontal="centerContinuous" vertical="top" shrinkToFit="1"/>
    </xf>
    <xf numFmtId="0" fontId="1" fillId="0" borderId="13" xfId="2" applyFill="1" applyBorder="1" applyAlignment="1" applyProtection="1">
      <alignment horizontal="centerContinuous" vertical="top"/>
    </xf>
    <xf numFmtId="0" fontId="1" fillId="2" borderId="17" xfId="2" applyFill="1" applyBorder="1" applyAlignment="1" applyProtection="1">
      <alignment horizontal="centerContinuous" vertical="top" shrinkToFit="1"/>
    </xf>
    <xf numFmtId="0" fontId="1" fillId="2" borderId="5" xfId="2" applyFill="1" applyBorder="1" applyAlignment="1" applyProtection="1">
      <alignment horizontal="center" vertical="center"/>
    </xf>
    <xf numFmtId="0" fontId="1" fillId="2" borderId="0" xfId="2" applyFill="1" applyBorder="1" applyProtection="1"/>
    <xf numFmtId="178" fontId="0" fillId="2" borderId="44" xfId="2" applyNumberFormat="1" applyFont="1" applyFill="1" applyBorder="1" applyAlignment="1" applyProtection="1">
      <alignment vertical="top"/>
    </xf>
    <xf numFmtId="178" fontId="0" fillId="2" borderId="37" xfId="2" applyNumberFormat="1" applyFont="1" applyFill="1" applyBorder="1" applyProtection="1"/>
    <xf numFmtId="0" fontId="8" fillId="2" borderId="37" xfId="2" applyFont="1" applyFill="1" applyBorder="1" applyAlignment="1" applyProtection="1">
      <alignment shrinkToFit="1"/>
    </xf>
    <xf numFmtId="0" fontId="1" fillId="2" borderId="22" xfId="2" applyFont="1" applyFill="1" applyBorder="1" applyAlignment="1" applyProtection="1">
      <alignment horizontal="center"/>
    </xf>
    <xf numFmtId="178" fontId="0" fillId="2" borderId="0" xfId="2" applyNumberFormat="1" applyFont="1" applyFill="1" applyBorder="1" applyProtection="1"/>
    <xf numFmtId="0" fontId="1" fillId="2" borderId="0" xfId="2" applyFill="1" applyBorder="1" applyAlignment="1" applyProtection="1">
      <alignment shrinkToFit="1"/>
    </xf>
    <xf numFmtId="178" fontId="1" fillId="0" borderId="0" xfId="2" applyNumberFormat="1" applyFill="1" applyBorder="1" applyProtection="1"/>
    <xf numFmtId="0" fontId="1" fillId="0" borderId="0" xfId="2" applyFill="1" applyBorder="1" applyAlignment="1" applyProtection="1">
      <alignment shrinkToFit="1"/>
    </xf>
    <xf numFmtId="0" fontId="1" fillId="0" borderId="0" xfId="2" applyFill="1" applyBorder="1" applyProtection="1"/>
    <xf numFmtId="0" fontId="1" fillId="2" borderId="8" xfId="2" applyFill="1" applyBorder="1" applyAlignment="1" applyProtection="1">
      <alignment shrinkToFit="1"/>
    </xf>
    <xf numFmtId="0" fontId="1" fillId="2" borderId="0" xfId="2" applyNumberFormat="1" applyFill="1" applyBorder="1" applyAlignment="1" applyProtection="1">
      <alignment horizontal="left" vertical="center"/>
    </xf>
    <xf numFmtId="0" fontId="8" fillId="2" borderId="0" xfId="2" applyFont="1" applyFill="1" applyBorder="1" applyAlignment="1" applyProtection="1">
      <alignment horizontal="center" vertical="center"/>
    </xf>
    <xf numFmtId="178" fontId="1" fillId="2" borderId="44" xfId="2" applyNumberFormat="1" applyFill="1" applyBorder="1" applyAlignment="1" applyProtection="1">
      <alignment vertical="top"/>
    </xf>
    <xf numFmtId="178" fontId="1" fillId="2" borderId="37" xfId="2" applyNumberFormat="1" applyFill="1" applyBorder="1" applyProtection="1"/>
    <xf numFmtId="178" fontId="1" fillId="2" borderId="0" xfId="2" applyNumberFormat="1" applyFill="1" applyBorder="1" applyProtection="1"/>
    <xf numFmtId="0" fontId="1" fillId="2" borderId="0" xfId="2" applyFont="1" applyFill="1" applyBorder="1" applyAlignment="1" applyProtection="1">
      <alignment horizontal="center"/>
    </xf>
    <xf numFmtId="0" fontId="1" fillId="2" borderId="0" xfId="2" applyFill="1" applyAlignment="1" applyProtection="1">
      <alignment horizontal="center"/>
    </xf>
    <xf numFmtId="178" fontId="1" fillId="2" borderId="44" xfId="2" applyNumberFormat="1" applyFill="1" applyBorder="1" applyProtection="1"/>
    <xf numFmtId="0" fontId="1" fillId="2" borderId="54" xfId="2" applyFill="1" applyBorder="1" applyAlignment="1" applyProtection="1">
      <alignment shrinkToFit="1"/>
    </xf>
    <xf numFmtId="0" fontId="1" fillId="2" borderId="37" xfId="2" applyFill="1" applyBorder="1" applyAlignment="1" applyProtection="1">
      <alignment shrinkToFit="1"/>
    </xf>
    <xf numFmtId="178" fontId="33" fillId="0" borderId="0" xfId="2" applyNumberFormat="1" applyFont="1" applyFill="1" applyBorder="1" applyProtection="1"/>
    <xf numFmtId="178" fontId="1" fillId="0" borderId="0" xfId="2" applyNumberFormat="1" applyFill="1" applyProtection="1"/>
    <xf numFmtId="0" fontId="4" fillId="0" borderId="0" xfId="2" applyFont="1" applyFill="1" applyBorder="1" applyProtection="1"/>
    <xf numFmtId="178" fontId="1" fillId="2" borderId="38" xfId="2" applyNumberFormat="1" applyFill="1" applyBorder="1" applyProtection="1"/>
    <xf numFmtId="0" fontId="1" fillId="2" borderId="38" xfId="2" applyFill="1" applyBorder="1" applyAlignment="1" applyProtection="1">
      <alignment shrinkToFit="1"/>
    </xf>
    <xf numFmtId="178" fontId="1" fillId="2" borderId="12" xfId="2" applyNumberFormat="1" applyFill="1" applyBorder="1" applyProtection="1"/>
    <xf numFmtId="0" fontId="1" fillId="2" borderId="12" xfId="2" applyFont="1" applyFill="1" applyBorder="1" applyAlignment="1" applyProtection="1">
      <alignment shrinkToFit="1"/>
    </xf>
    <xf numFmtId="0" fontId="1" fillId="2" borderId="12" xfId="2" applyFill="1" applyBorder="1" applyProtection="1"/>
    <xf numFmtId="0" fontId="1" fillId="2" borderId="12" xfId="2" applyFont="1" applyFill="1" applyBorder="1" applyAlignment="1" applyProtection="1">
      <alignment horizontal="right"/>
    </xf>
    <xf numFmtId="0" fontId="1" fillId="2" borderId="4" xfId="2" applyFont="1" applyFill="1" applyBorder="1" applyAlignment="1" applyProtection="1">
      <alignment shrinkToFit="1"/>
    </xf>
    <xf numFmtId="0" fontId="40" fillId="2" borderId="5" xfId="2" applyNumberFormat="1" applyFont="1" applyFill="1" applyBorder="1" applyAlignment="1" applyProtection="1">
      <alignment vertical="center"/>
    </xf>
    <xf numFmtId="0" fontId="8" fillId="2" borderId="54" xfId="2" applyFont="1" applyFill="1" applyBorder="1" applyAlignment="1" applyProtection="1">
      <alignment shrinkToFit="1"/>
    </xf>
    <xf numFmtId="178" fontId="1" fillId="2" borderId="43" xfId="2" applyNumberFormat="1" applyFill="1" applyBorder="1" applyProtection="1"/>
    <xf numFmtId="0" fontId="8" fillId="2" borderId="43" xfId="2" applyFont="1" applyFill="1" applyBorder="1" applyAlignment="1" applyProtection="1">
      <alignment shrinkToFit="1"/>
    </xf>
    <xf numFmtId="178" fontId="1" fillId="2" borderId="9" xfId="2" applyNumberFormat="1" applyFill="1" applyBorder="1" applyProtection="1"/>
    <xf numFmtId="0" fontId="0" fillId="2" borderId="9" xfId="2" applyFont="1" applyFill="1" applyBorder="1" applyAlignment="1" applyProtection="1">
      <alignment shrinkToFit="1"/>
    </xf>
    <xf numFmtId="0" fontId="1" fillId="2" borderId="9" xfId="2" applyFill="1" applyBorder="1" applyProtection="1"/>
    <xf numFmtId="178" fontId="1" fillId="0" borderId="9" xfId="2" applyNumberFormat="1" applyFill="1" applyBorder="1" applyProtection="1"/>
    <xf numFmtId="0" fontId="1" fillId="0" borderId="9" xfId="2" applyFill="1" applyBorder="1" applyAlignment="1" applyProtection="1">
      <alignment shrinkToFit="1"/>
    </xf>
    <xf numFmtId="0" fontId="1" fillId="0" borderId="9" xfId="2" applyFill="1" applyBorder="1" applyProtection="1"/>
    <xf numFmtId="0" fontId="1" fillId="0" borderId="9" xfId="2" applyFont="1" applyFill="1" applyBorder="1" applyAlignment="1" applyProtection="1">
      <alignment shrinkToFit="1"/>
    </xf>
    <xf numFmtId="0" fontId="1" fillId="2" borderId="15" xfId="2" applyFill="1" applyBorder="1" applyAlignment="1" applyProtection="1">
      <alignment shrinkToFit="1"/>
    </xf>
    <xf numFmtId="0" fontId="1" fillId="2" borderId="0" xfId="2" applyFont="1" applyFill="1" applyBorder="1" applyAlignment="1" applyProtection="1">
      <alignment shrinkToFit="1"/>
    </xf>
    <xf numFmtId="0" fontId="0" fillId="2" borderId="0" xfId="2" applyFont="1" applyFill="1" applyBorder="1" applyAlignment="1" applyProtection="1">
      <alignment shrinkToFit="1"/>
    </xf>
    <xf numFmtId="0" fontId="4" fillId="2" borderId="0" xfId="2" applyFont="1" applyFill="1" applyBorder="1" applyProtection="1"/>
    <xf numFmtId="178" fontId="1" fillId="2" borderId="45" xfId="2" applyNumberFormat="1" applyFill="1" applyBorder="1" applyProtection="1"/>
    <xf numFmtId="0" fontId="1" fillId="2" borderId="18" xfId="2" applyFill="1" applyBorder="1" applyAlignment="1" applyProtection="1">
      <alignment shrinkToFit="1"/>
    </xf>
    <xf numFmtId="0" fontId="1" fillId="2" borderId="12" xfId="2" applyFill="1" applyBorder="1" applyAlignment="1" applyProtection="1">
      <alignment shrinkToFit="1"/>
    </xf>
    <xf numFmtId="178" fontId="34" fillId="2" borderId="0" xfId="2" applyNumberFormat="1" applyFont="1" applyFill="1" applyBorder="1" applyAlignment="1" applyProtection="1">
      <alignment vertical="center" wrapText="1"/>
    </xf>
    <xf numFmtId="178" fontId="1" fillId="2" borderId="42" xfId="2" applyNumberFormat="1" applyFill="1" applyBorder="1" applyAlignment="1" applyProtection="1">
      <alignment vertical="top"/>
    </xf>
    <xf numFmtId="0" fontId="8" fillId="2" borderId="29" xfId="2" applyFont="1" applyFill="1" applyBorder="1" applyAlignment="1" applyProtection="1">
      <alignment vertical="top" shrinkToFit="1"/>
    </xf>
    <xf numFmtId="0" fontId="1" fillId="2" borderId="9" xfId="2" applyFill="1" applyBorder="1" applyAlignment="1" applyProtection="1">
      <alignment shrinkToFit="1"/>
    </xf>
    <xf numFmtId="178" fontId="1" fillId="2" borderId="0" xfId="2" applyNumberFormat="1" applyFill="1" applyProtection="1"/>
    <xf numFmtId="0" fontId="0" fillId="0" borderId="0" xfId="2" applyFont="1" applyFill="1" applyBorder="1" applyAlignment="1" applyProtection="1">
      <alignment shrinkToFit="1"/>
    </xf>
    <xf numFmtId="0" fontId="1" fillId="0" borderId="0" xfId="2" applyFont="1" applyFill="1" applyBorder="1" applyAlignment="1" applyProtection="1">
      <alignment shrinkToFit="1"/>
    </xf>
    <xf numFmtId="0" fontId="0" fillId="2" borderId="12" xfId="2" applyFont="1" applyFill="1" applyBorder="1" applyAlignment="1" applyProtection="1">
      <alignment shrinkToFit="1"/>
    </xf>
    <xf numFmtId="0" fontId="4" fillId="2" borderId="22" xfId="2" applyFont="1" applyFill="1" applyBorder="1" applyProtection="1"/>
    <xf numFmtId="0" fontId="4" fillId="0" borderId="9" xfId="2" applyFont="1" applyFill="1" applyBorder="1" applyProtection="1"/>
    <xf numFmtId="0" fontId="1" fillId="2" borderId="9" xfId="2" applyFont="1" applyFill="1" applyBorder="1" applyAlignment="1" applyProtection="1">
      <alignment shrinkToFit="1"/>
    </xf>
    <xf numFmtId="178" fontId="1" fillId="2" borderId="46" xfId="2" applyNumberFormat="1" applyFill="1" applyBorder="1" applyProtection="1"/>
    <xf numFmtId="0" fontId="1" fillId="2" borderId="25" xfId="2" applyFill="1" applyBorder="1" applyAlignment="1" applyProtection="1">
      <alignment shrinkToFit="1"/>
    </xf>
    <xf numFmtId="178" fontId="1" fillId="2" borderId="47" xfId="2" applyNumberFormat="1" applyFill="1" applyBorder="1" applyProtection="1"/>
    <xf numFmtId="0" fontId="1" fillId="2" borderId="47" xfId="2" applyFill="1" applyBorder="1" applyAlignment="1" applyProtection="1">
      <alignment shrinkToFit="1"/>
    </xf>
    <xf numFmtId="178" fontId="1" fillId="2" borderId="13" xfId="2" applyNumberFormat="1" applyFill="1" applyBorder="1" applyProtection="1"/>
    <xf numFmtId="0" fontId="1" fillId="2" borderId="13" xfId="2" applyFill="1" applyBorder="1" applyAlignment="1" applyProtection="1">
      <alignment shrinkToFit="1"/>
    </xf>
    <xf numFmtId="0" fontId="1" fillId="2" borderId="13" xfId="2" applyFill="1" applyBorder="1" applyProtection="1"/>
    <xf numFmtId="0" fontId="1" fillId="2" borderId="13" xfId="2" applyFont="1" applyFill="1" applyBorder="1" applyAlignment="1" applyProtection="1">
      <alignment horizontal="right"/>
    </xf>
    <xf numFmtId="0" fontId="1" fillId="2" borderId="17" xfId="2" applyFont="1" applyFill="1" applyBorder="1" applyAlignment="1" applyProtection="1">
      <alignment shrinkToFit="1"/>
    </xf>
    <xf numFmtId="0" fontId="0" fillId="0" borderId="9" xfId="2" applyFont="1" applyFill="1" applyBorder="1" applyAlignment="1" applyProtection="1">
      <alignment shrinkToFit="1"/>
    </xf>
    <xf numFmtId="0" fontId="1" fillId="2" borderId="13" xfId="2" applyFont="1" applyFill="1" applyBorder="1" applyAlignment="1" applyProtection="1">
      <alignment shrinkToFit="1"/>
    </xf>
    <xf numFmtId="0" fontId="1" fillId="2" borderId="0" xfId="2" applyFill="1" applyAlignment="1" applyProtection="1">
      <alignment shrinkToFit="1"/>
    </xf>
    <xf numFmtId="0" fontId="1" fillId="0" borderId="0" xfId="2" applyFill="1" applyAlignment="1" applyProtection="1">
      <alignment shrinkToFit="1"/>
    </xf>
    <xf numFmtId="0" fontId="1" fillId="0" borderId="0" xfId="2" applyFill="1" applyProtection="1"/>
    <xf numFmtId="177" fontId="5" fillId="2" borderId="13" xfId="0" applyNumberFormat="1"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1"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19" xfId="0" applyFont="1" applyFill="1" applyBorder="1" applyAlignment="1" applyProtection="1">
      <alignment horizontal="left" vertical="center"/>
    </xf>
    <xf numFmtId="0" fontId="13" fillId="2" borderId="12"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55" fillId="2" borderId="0" xfId="0" applyFont="1" applyFill="1" applyProtection="1">
      <alignment vertical="center"/>
    </xf>
    <xf numFmtId="0" fontId="56" fillId="2" borderId="0" xfId="0" applyFont="1" applyFill="1" applyBorder="1" applyProtection="1">
      <alignment vertical="center"/>
    </xf>
    <xf numFmtId="0" fontId="8" fillId="2" borderId="5" xfId="0" applyFont="1" applyFill="1" applyBorder="1" applyProtection="1">
      <alignment vertical="center"/>
    </xf>
    <xf numFmtId="0" fontId="8" fillId="2" borderId="0" xfId="0" applyFont="1" applyFill="1" applyBorder="1" applyProtection="1">
      <alignment vertical="center"/>
    </xf>
    <xf numFmtId="0" fontId="8" fillId="2" borderId="8" xfId="0" applyFont="1" applyFill="1" applyBorder="1" applyProtection="1">
      <alignment vertical="center"/>
    </xf>
    <xf numFmtId="0" fontId="13" fillId="2" borderId="0" xfId="0" applyFont="1" applyFill="1" applyBorder="1" applyAlignment="1" applyProtection="1">
      <alignment horizontal="center" vertical="center" textRotation="255"/>
    </xf>
    <xf numFmtId="0" fontId="13" fillId="2" borderId="31" xfId="0" applyFont="1" applyFill="1" applyBorder="1" applyProtection="1">
      <alignment vertical="center"/>
    </xf>
    <xf numFmtId="0" fontId="13" fillId="2" borderId="1" xfId="0" applyFont="1" applyFill="1" applyBorder="1" applyAlignment="1" applyProtection="1">
      <alignment horizontal="left" vertical="center"/>
    </xf>
    <xf numFmtId="0" fontId="13" fillId="2" borderId="26" xfId="0" applyFont="1" applyFill="1" applyBorder="1" applyAlignment="1" applyProtection="1">
      <alignment horizontal="left" vertical="center"/>
    </xf>
    <xf numFmtId="0" fontId="46" fillId="0" borderId="0" xfId="0" applyFont="1" applyFill="1" applyAlignment="1" applyProtection="1">
      <alignment horizontal="center" vertical="center"/>
    </xf>
    <xf numFmtId="0" fontId="46" fillId="0" borderId="0" xfId="0" applyFont="1" applyFill="1" applyProtection="1">
      <alignment vertical="center"/>
    </xf>
    <xf numFmtId="0" fontId="48" fillId="0" borderId="0" xfId="0" applyNumberFormat="1" applyFont="1" applyFill="1" applyAlignment="1" applyProtection="1">
      <alignment horizontal="center"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left" vertical="center"/>
    </xf>
    <xf numFmtId="0" fontId="50" fillId="0" borderId="0" xfId="0" applyFont="1" applyFill="1" applyProtection="1">
      <alignment vertical="center"/>
    </xf>
    <xf numFmtId="0" fontId="48" fillId="0" borderId="0" xfId="2" applyFont="1" applyFill="1" applyAlignment="1" applyProtection="1">
      <alignment vertical="center"/>
    </xf>
    <xf numFmtId="0" fontId="48" fillId="0" borderId="80" xfId="2" applyFont="1" applyFill="1" applyBorder="1" applyAlignment="1" applyProtection="1">
      <alignment vertical="center"/>
    </xf>
    <xf numFmtId="0" fontId="48" fillId="0" borderId="81" xfId="2" applyFont="1" applyFill="1" applyBorder="1" applyAlignment="1" applyProtection="1">
      <alignment vertical="center"/>
    </xf>
    <xf numFmtId="0" fontId="48" fillId="0" borderId="83" xfId="2" applyFont="1" applyFill="1" applyBorder="1" applyAlignment="1" applyProtection="1">
      <alignment vertical="center"/>
    </xf>
    <xf numFmtId="0" fontId="48" fillId="0" borderId="0" xfId="2" applyFont="1" applyFill="1" applyBorder="1" applyAlignment="1" applyProtection="1">
      <alignment vertical="center"/>
    </xf>
    <xf numFmtId="0" fontId="48" fillId="0" borderId="85" xfId="2" applyFont="1" applyFill="1" applyBorder="1" applyAlignment="1" applyProtection="1">
      <alignment vertical="center"/>
    </xf>
    <xf numFmtId="0" fontId="48" fillId="0" borderId="86" xfId="2" applyFont="1" applyFill="1" applyBorder="1" applyAlignment="1" applyProtection="1">
      <alignment vertical="center"/>
    </xf>
    <xf numFmtId="0" fontId="48" fillId="0" borderId="0" xfId="2" applyFont="1" applyFill="1" applyAlignment="1" applyProtection="1">
      <alignment vertical="center" shrinkToFit="1"/>
    </xf>
    <xf numFmtId="0" fontId="5" fillId="0" borderId="39" xfId="0" applyFont="1" applyFill="1" applyBorder="1" applyAlignment="1" applyProtection="1">
      <alignment horizontal="left" vertical="center"/>
    </xf>
    <xf numFmtId="0" fontId="0" fillId="0" borderId="0" xfId="0" applyFill="1" applyProtection="1">
      <alignment vertical="center"/>
    </xf>
    <xf numFmtId="0" fontId="3" fillId="2" borderId="0" xfId="3" applyFont="1" applyFill="1">
      <alignment vertical="center"/>
    </xf>
    <xf numFmtId="0" fontId="5" fillId="2" borderId="0" xfId="3" applyFont="1" applyFill="1" applyProtection="1">
      <alignment vertical="center"/>
    </xf>
    <xf numFmtId="0" fontId="5" fillId="2" borderId="0" xfId="3" applyFont="1" applyFill="1">
      <alignment vertical="center"/>
    </xf>
    <xf numFmtId="0" fontId="5" fillId="2" borderId="0" xfId="3" applyFont="1" applyFill="1" applyProtection="1">
      <alignment vertical="center"/>
      <protection locked="0"/>
    </xf>
    <xf numFmtId="0" fontId="1" fillId="2" borderId="0" xfId="3" applyFill="1">
      <alignment vertical="center"/>
    </xf>
    <xf numFmtId="0" fontId="3" fillId="2" borderId="10" xfId="3" applyFont="1" applyFill="1" applyBorder="1" applyAlignment="1">
      <alignment horizontal="left" vertical="center"/>
    </xf>
    <xf numFmtId="0" fontId="3" fillId="2" borderId="11" xfId="3" applyFont="1" applyFill="1" applyBorder="1" applyAlignment="1">
      <alignment horizontal="left" vertical="center"/>
    </xf>
    <xf numFmtId="0" fontId="3" fillId="2" borderId="12" xfId="3" applyFont="1" applyFill="1" applyBorder="1" applyAlignment="1">
      <alignment horizontal="left" vertical="center"/>
    </xf>
    <xf numFmtId="0" fontId="3" fillId="2" borderId="4" xfId="3" applyFont="1" applyFill="1" applyBorder="1" applyAlignment="1">
      <alignment horizontal="left" vertical="center"/>
    </xf>
    <xf numFmtId="0" fontId="5" fillId="2" borderId="22"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54" xfId="3" applyFont="1" applyFill="1" applyBorder="1" applyAlignment="1">
      <alignment horizontal="center" vertical="center" wrapText="1"/>
    </xf>
    <xf numFmtId="0" fontId="48" fillId="0" borderId="82" xfId="2" applyFont="1" applyFill="1" applyBorder="1" applyAlignment="1" applyProtection="1">
      <alignment vertical="center"/>
    </xf>
    <xf numFmtId="0" fontId="48" fillId="0" borderId="84" xfId="2" applyFont="1" applyFill="1" applyBorder="1" applyAlignment="1" applyProtection="1">
      <alignment vertical="center"/>
    </xf>
    <xf numFmtId="0" fontId="48" fillId="0" borderId="87" xfId="2" applyFont="1" applyFill="1" applyBorder="1" applyAlignment="1" applyProtection="1">
      <alignment vertical="center"/>
    </xf>
    <xf numFmtId="0" fontId="20" fillId="2" borderId="0" xfId="0" applyFont="1" applyFill="1" applyBorder="1" applyProtection="1">
      <alignment vertical="center"/>
    </xf>
    <xf numFmtId="0" fontId="20" fillId="3" borderId="1" xfId="0" applyFont="1" applyFill="1" applyBorder="1" applyAlignment="1" applyProtection="1">
      <alignment horizontal="left" vertical="center" shrinkToFit="1"/>
      <protection locked="0"/>
    </xf>
    <xf numFmtId="0" fontId="20" fillId="3" borderId="3" xfId="0" applyFont="1" applyFill="1" applyBorder="1" applyAlignment="1" applyProtection="1">
      <alignment horizontal="left" vertical="center" shrinkToFit="1"/>
      <protection locked="0"/>
    </xf>
    <xf numFmtId="0" fontId="0" fillId="2" borderId="13" xfId="2" applyFont="1" applyFill="1" applyBorder="1" applyAlignment="1" applyProtection="1">
      <alignment horizontal="centerContinuous" vertical="top"/>
    </xf>
    <xf numFmtId="0" fontId="8" fillId="2" borderId="37" xfId="2" applyFont="1" applyFill="1" applyBorder="1" applyAlignment="1" applyProtection="1">
      <alignment vertical="top" shrinkToFit="1"/>
    </xf>
    <xf numFmtId="0" fontId="0" fillId="2" borderId="13" xfId="2" applyFont="1" applyFill="1" applyBorder="1" applyAlignment="1" applyProtection="1">
      <alignment shrinkToFit="1"/>
    </xf>
    <xf numFmtId="0" fontId="5" fillId="2" borderId="0" xfId="0" applyFont="1" applyFill="1" applyProtection="1">
      <alignment vertical="center"/>
    </xf>
    <xf numFmtId="0" fontId="0" fillId="0" borderId="0" xfId="0" applyBorder="1">
      <alignment vertical="center"/>
    </xf>
    <xf numFmtId="0" fontId="0" fillId="2" borderId="0" xfId="0" applyFill="1" applyProtection="1">
      <alignment vertical="center"/>
    </xf>
    <xf numFmtId="0" fontId="8" fillId="2" borderId="0" xfId="0" applyFont="1" applyFill="1" applyProtection="1">
      <alignment vertical="center"/>
    </xf>
    <xf numFmtId="49" fontId="0" fillId="2" borderId="0" xfId="0" applyNumberFormat="1" applyFill="1" applyProtection="1">
      <alignment vertical="center"/>
    </xf>
    <xf numFmtId="0" fontId="1" fillId="2" borderId="22" xfId="2" applyFont="1" applyFill="1" applyBorder="1" applyAlignment="1" applyProtection="1">
      <alignment horizontal="center"/>
      <protection locked="0"/>
    </xf>
    <xf numFmtId="0" fontId="1" fillId="2" borderId="0" xfId="2" applyFont="1" applyFill="1" applyBorder="1" applyAlignment="1" applyProtection="1">
      <alignment horizontal="center"/>
      <protection locked="0"/>
    </xf>
    <xf numFmtId="0" fontId="4" fillId="2" borderId="22" xfId="2" applyFont="1" applyFill="1" applyBorder="1" applyAlignment="1" applyProtection="1">
      <alignment horizontal="center"/>
      <protection locked="0"/>
    </xf>
    <xf numFmtId="0" fontId="1" fillId="2" borderId="27" xfId="2" applyFont="1" applyFill="1" applyBorder="1" applyAlignment="1" applyProtection="1">
      <alignment horizontal="center"/>
      <protection locked="0"/>
    </xf>
    <xf numFmtId="0" fontId="1" fillId="2" borderId="10" xfId="2" applyFont="1" applyFill="1" applyBorder="1" applyAlignment="1" applyProtection="1">
      <alignment horizontal="center"/>
      <protection locked="0"/>
    </xf>
    <xf numFmtId="0" fontId="1" fillId="2" borderId="28" xfId="2" applyFont="1" applyFill="1" applyBorder="1" applyAlignment="1" applyProtection="1">
      <alignment horizontal="center"/>
      <protection locked="0"/>
    </xf>
    <xf numFmtId="0" fontId="1" fillId="2" borderId="9" xfId="2" applyFont="1" applyFill="1" applyBorder="1" applyAlignment="1" applyProtection="1">
      <alignment horizontal="center"/>
      <protection locked="0"/>
    </xf>
    <xf numFmtId="0" fontId="1" fillId="2" borderId="24" xfId="2" applyFont="1" applyFill="1" applyBorder="1" applyAlignment="1" applyProtection="1">
      <alignment horizontal="center"/>
      <protection locked="0"/>
    </xf>
    <xf numFmtId="178" fontId="1" fillId="2" borderId="40" xfId="2" applyNumberFormat="1" applyFill="1" applyBorder="1" applyAlignment="1" applyProtection="1">
      <alignment horizontal="centerContinuous" vertical="center"/>
    </xf>
    <xf numFmtId="0" fontId="1" fillId="2" borderId="20" xfId="2" applyFill="1" applyBorder="1" applyAlignment="1" applyProtection="1">
      <alignment horizontal="centerContinuous" vertical="center" shrinkToFit="1"/>
    </xf>
    <xf numFmtId="0" fontId="1" fillId="2" borderId="41" xfId="2" applyFill="1" applyBorder="1" applyAlignment="1" applyProtection="1">
      <alignment horizontal="centerContinuous" vertical="center"/>
    </xf>
    <xf numFmtId="0" fontId="1" fillId="2" borderId="10" xfId="2" applyFill="1" applyBorder="1" applyProtection="1"/>
    <xf numFmtId="178" fontId="1" fillId="2" borderId="10" xfId="2" applyNumberFormat="1" applyFill="1" applyBorder="1" applyProtection="1"/>
    <xf numFmtId="0" fontId="1" fillId="2" borderId="10" xfId="2" applyFill="1" applyBorder="1" applyAlignment="1" applyProtection="1">
      <alignment shrinkToFit="1"/>
    </xf>
    <xf numFmtId="178" fontId="1" fillId="0" borderId="10" xfId="2" applyNumberFormat="1" applyFill="1" applyBorder="1" applyProtection="1"/>
    <xf numFmtId="0" fontId="1" fillId="0" borderId="10" xfId="2" applyFill="1" applyBorder="1" applyAlignment="1" applyProtection="1">
      <alignment shrinkToFit="1"/>
    </xf>
    <xf numFmtId="0" fontId="1" fillId="0" borderId="10" xfId="2" applyFill="1" applyBorder="1" applyProtection="1"/>
    <xf numFmtId="0" fontId="1" fillId="2" borderId="11" xfId="2" applyFill="1" applyBorder="1" applyAlignment="1" applyProtection="1">
      <alignment shrinkToFit="1"/>
    </xf>
    <xf numFmtId="0" fontId="8" fillId="2" borderId="0" xfId="2" applyFont="1" applyFill="1" applyAlignment="1" applyProtection="1">
      <alignment horizontal="center" vertical="center"/>
    </xf>
    <xf numFmtId="0" fontId="1" fillId="2" borderId="0" xfId="2" applyFill="1" applyProtection="1"/>
    <xf numFmtId="0" fontId="0" fillId="2" borderId="0" xfId="2" applyFont="1" applyFill="1" applyAlignment="1" applyProtection="1">
      <alignment horizontal="center"/>
    </xf>
    <xf numFmtId="178" fontId="1" fillId="2" borderId="79" xfId="2" applyNumberFormat="1" applyFill="1" applyBorder="1" applyAlignment="1" applyProtection="1">
      <alignment horizontal="center" vertical="top" textRotation="255" shrinkToFit="1"/>
    </xf>
    <xf numFmtId="0" fontId="1" fillId="2" borderId="53" xfId="2" applyFont="1" applyFill="1" applyBorder="1" applyAlignment="1" applyProtection="1">
      <alignment horizontal="center" vertical="center" shrinkToFit="1"/>
    </xf>
    <xf numFmtId="0" fontId="1" fillId="2" borderId="13" xfId="2" applyFill="1" applyBorder="1" applyAlignment="1" applyProtection="1">
      <alignment horizontal="center" vertical="top" textRotation="255" shrinkToFit="1"/>
    </xf>
    <xf numFmtId="0" fontId="1" fillId="2" borderId="47" xfId="2" applyFont="1" applyFill="1" applyBorder="1" applyAlignment="1" applyProtection="1">
      <alignment horizontal="center" vertical="center" shrinkToFit="1"/>
    </xf>
    <xf numFmtId="178" fontId="1" fillId="2" borderId="13" xfId="2" applyNumberFormat="1" applyFill="1" applyBorder="1" applyAlignment="1" applyProtection="1">
      <alignment horizontal="centerContinuous" vertical="top"/>
    </xf>
    <xf numFmtId="0" fontId="1" fillId="2" borderId="13" xfId="2" applyFill="1" applyBorder="1" applyAlignment="1" applyProtection="1">
      <alignment horizontal="centerContinuous" vertical="top" shrinkToFit="1"/>
    </xf>
    <xf numFmtId="0" fontId="1" fillId="2" borderId="13" xfId="2" applyFill="1" applyBorder="1" applyAlignment="1" applyProtection="1">
      <alignment horizontal="centerContinuous" vertical="top"/>
    </xf>
    <xf numFmtId="178" fontId="1" fillId="0" borderId="13" xfId="2" applyNumberFormat="1" applyFill="1" applyBorder="1" applyAlignment="1" applyProtection="1">
      <alignment horizontal="centerContinuous" vertical="top"/>
    </xf>
    <xf numFmtId="0" fontId="1" fillId="0" borderId="13" xfId="2" applyFill="1" applyBorder="1" applyAlignment="1" applyProtection="1">
      <alignment horizontal="centerContinuous" vertical="top" shrinkToFit="1"/>
    </xf>
    <xf numFmtId="0" fontId="1" fillId="0" borderId="13" xfId="2" applyFill="1" applyBorder="1" applyAlignment="1" applyProtection="1">
      <alignment horizontal="centerContinuous" vertical="top"/>
    </xf>
    <xf numFmtId="0" fontId="1" fillId="2" borderId="17" xfId="2" applyFill="1" applyBorder="1" applyAlignment="1" applyProtection="1">
      <alignment horizontal="centerContinuous" vertical="top" shrinkToFit="1"/>
    </xf>
    <xf numFmtId="0" fontId="1" fillId="2" borderId="5" xfId="2" applyFill="1" applyBorder="1" applyAlignment="1" applyProtection="1">
      <alignment horizontal="center" vertical="center"/>
    </xf>
    <xf numFmtId="0" fontId="1" fillId="2" borderId="0" xfId="2" applyFill="1" applyBorder="1" applyProtection="1"/>
    <xf numFmtId="178" fontId="0" fillId="2" borderId="44" xfId="2" applyNumberFormat="1" applyFont="1" applyFill="1" applyBorder="1" applyAlignment="1" applyProtection="1">
      <alignment vertical="top"/>
    </xf>
    <xf numFmtId="178" fontId="0" fillId="2" borderId="37" xfId="2" applyNumberFormat="1" applyFont="1" applyFill="1" applyBorder="1" applyProtection="1"/>
    <xf numFmtId="0" fontId="8" fillId="2" borderId="37" xfId="2" applyFont="1" applyFill="1" applyBorder="1" applyAlignment="1" applyProtection="1">
      <alignment shrinkToFit="1"/>
    </xf>
    <xf numFmtId="0" fontId="1" fillId="2" borderId="22" xfId="2" applyFont="1" applyFill="1" applyBorder="1" applyAlignment="1" applyProtection="1">
      <alignment horizontal="center"/>
    </xf>
    <xf numFmtId="178" fontId="0" fillId="2" borderId="0" xfId="2" applyNumberFormat="1" applyFont="1" applyFill="1" applyBorder="1" applyProtection="1"/>
    <xf numFmtId="0" fontId="1" fillId="2" borderId="0" xfId="2" applyFill="1" applyBorder="1" applyAlignment="1" applyProtection="1">
      <alignment shrinkToFit="1"/>
    </xf>
    <xf numFmtId="178" fontId="1" fillId="0" borderId="0" xfId="2" applyNumberFormat="1" applyFill="1" applyBorder="1" applyProtection="1"/>
    <xf numFmtId="0" fontId="1" fillId="0" borderId="0" xfId="2" applyFill="1" applyBorder="1" applyAlignment="1" applyProtection="1">
      <alignment shrinkToFit="1"/>
    </xf>
    <xf numFmtId="0" fontId="1" fillId="0" borderId="0" xfId="2" applyFill="1" applyBorder="1" applyProtection="1"/>
    <xf numFmtId="0" fontId="1" fillId="2" borderId="8" xfId="2" applyFill="1" applyBorder="1" applyAlignment="1" applyProtection="1">
      <alignment shrinkToFit="1"/>
    </xf>
    <xf numFmtId="0" fontId="1" fillId="2" borderId="0" xfId="2" applyNumberFormat="1" applyFill="1" applyBorder="1" applyAlignment="1" applyProtection="1">
      <alignment horizontal="left" vertical="center"/>
    </xf>
    <xf numFmtId="0" fontId="8" fillId="2" borderId="0" xfId="2" applyFont="1" applyFill="1" applyBorder="1" applyAlignment="1" applyProtection="1">
      <alignment horizontal="center" vertical="center"/>
    </xf>
    <xf numFmtId="178" fontId="1" fillId="2" borderId="44" xfId="2" applyNumberFormat="1" applyFill="1" applyBorder="1" applyAlignment="1" applyProtection="1">
      <alignment vertical="top"/>
    </xf>
    <xf numFmtId="178" fontId="1" fillId="2" borderId="37" xfId="2" applyNumberFormat="1" applyFill="1" applyBorder="1" applyProtection="1"/>
    <xf numFmtId="178" fontId="1" fillId="2" borderId="0" xfId="2" applyNumberFormat="1" applyFill="1" applyBorder="1" applyProtection="1"/>
    <xf numFmtId="0" fontId="1" fillId="2" borderId="0" xfId="2" applyFont="1" applyFill="1" applyBorder="1" applyAlignment="1" applyProtection="1">
      <alignment horizontal="center"/>
    </xf>
    <xf numFmtId="0" fontId="1" fillId="2" borderId="0" xfId="2" applyFill="1" applyAlignment="1" applyProtection="1">
      <alignment horizontal="center"/>
    </xf>
    <xf numFmtId="178" fontId="1" fillId="2" borderId="44" xfId="2" applyNumberFormat="1" applyFill="1" applyBorder="1" applyProtection="1"/>
    <xf numFmtId="0" fontId="1" fillId="2" borderId="54" xfId="2" applyFill="1" applyBorder="1" applyAlignment="1" applyProtection="1">
      <alignment shrinkToFit="1"/>
    </xf>
    <xf numFmtId="0" fontId="1" fillId="2" borderId="37" xfId="2" applyFill="1" applyBorder="1" applyAlignment="1" applyProtection="1">
      <alignment shrinkToFit="1"/>
    </xf>
    <xf numFmtId="178" fontId="33" fillId="0" borderId="0" xfId="2" applyNumberFormat="1" applyFont="1" applyFill="1" applyBorder="1" applyProtection="1"/>
    <xf numFmtId="178" fontId="1" fillId="0" borderId="0" xfId="2" applyNumberFormat="1" applyFill="1" applyProtection="1"/>
    <xf numFmtId="0" fontId="4" fillId="0" borderId="0" xfId="2" applyFont="1" applyFill="1" applyBorder="1" applyProtection="1"/>
    <xf numFmtId="178" fontId="1" fillId="2" borderId="38" xfId="2" applyNumberFormat="1" applyFill="1" applyBorder="1" applyProtection="1"/>
    <xf numFmtId="0" fontId="1" fillId="2" borderId="38" xfId="2" applyFill="1" applyBorder="1" applyAlignment="1" applyProtection="1">
      <alignment shrinkToFit="1"/>
    </xf>
    <xf numFmtId="178" fontId="1" fillId="2" borderId="12" xfId="2" applyNumberFormat="1" applyFill="1" applyBorder="1" applyProtection="1"/>
    <xf numFmtId="0" fontId="1" fillId="2" borderId="12" xfId="2" applyFill="1" applyBorder="1" applyProtection="1"/>
    <xf numFmtId="0" fontId="1" fillId="2" borderId="12" xfId="2" applyFont="1" applyFill="1" applyBorder="1" applyAlignment="1" applyProtection="1">
      <alignment horizontal="right"/>
    </xf>
    <xf numFmtId="0" fontId="1" fillId="2" borderId="4" xfId="2" applyFont="1" applyFill="1" applyBorder="1" applyAlignment="1" applyProtection="1">
      <alignment shrinkToFit="1"/>
    </xf>
    <xf numFmtId="0" fontId="40" fillId="2" borderId="5" xfId="2" applyNumberFormat="1" applyFont="1" applyFill="1" applyBorder="1" applyAlignment="1" applyProtection="1">
      <alignment vertical="center"/>
    </xf>
    <xf numFmtId="0" fontId="8" fillId="2" borderId="54" xfId="2" applyFont="1" applyFill="1" applyBorder="1" applyAlignment="1" applyProtection="1">
      <alignment shrinkToFit="1"/>
    </xf>
    <xf numFmtId="178" fontId="1" fillId="2" borderId="43" xfId="2" applyNumberFormat="1" applyFill="1" applyBorder="1" applyProtection="1"/>
    <xf numFmtId="0" fontId="8" fillId="2" borderId="43" xfId="2" applyFont="1" applyFill="1" applyBorder="1" applyAlignment="1" applyProtection="1">
      <alignment shrinkToFit="1"/>
    </xf>
    <xf numFmtId="178" fontId="1" fillId="2" borderId="9" xfId="2" applyNumberFormat="1" applyFill="1" applyBorder="1" applyProtection="1"/>
    <xf numFmtId="0" fontId="0" fillId="2" borderId="9" xfId="2" applyFont="1" applyFill="1" applyBorder="1" applyAlignment="1" applyProtection="1">
      <alignment shrinkToFit="1"/>
    </xf>
    <xf numFmtId="0" fontId="1" fillId="2" borderId="9" xfId="2" applyFill="1" applyBorder="1" applyProtection="1"/>
    <xf numFmtId="178" fontId="1" fillId="0" borderId="9" xfId="2" applyNumberFormat="1" applyFill="1" applyBorder="1" applyProtection="1"/>
    <xf numFmtId="0" fontId="1" fillId="0" borderId="9" xfId="2" applyFill="1" applyBorder="1" applyAlignment="1" applyProtection="1">
      <alignment shrinkToFit="1"/>
    </xf>
    <xf numFmtId="0" fontId="1" fillId="0" borderId="9" xfId="2" applyFill="1" applyBorder="1" applyProtection="1"/>
    <xf numFmtId="0" fontId="1" fillId="0" borderId="9" xfId="2" applyFont="1" applyFill="1" applyBorder="1" applyAlignment="1" applyProtection="1">
      <alignment shrinkToFit="1"/>
    </xf>
    <xf numFmtId="0" fontId="1" fillId="2" borderId="15" xfId="2" applyFill="1" applyBorder="1" applyAlignment="1" applyProtection="1">
      <alignment shrinkToFit="1"/>
    </xf>
    <xf numFmtId="0" fontId="0" fillId="2" borderId="0" xfId="2" applyFont="1" applyFill="1" applyBorder="1" applyAlignment="1" applyProtection="1">
      <alignment shrinkToFit="1"/>
    </xf>
    <xf numFmtId="0" fontId="4" fillId="2" borderId="0" xfId="2" applyFont="1" applyFill="1" applyBorder="1" applyProtection="1"/>
    <xf numFmtId="178" fontId="34" fillId="2" borderId="0" xfId="2" applyNumberFormat="1" applyFont="1" applyFill="1" applyBorder="1" applyAlignment="1" applyProtection="1">
      <alignment vertical="center" wrapText="1"/>
    </xf>
    <xf numFmtId="178" fontId="1" fillId="2" borderId="0" xfId="2" applyNumberFormat="1" applyFill="1" applyProtection="1"/>
    <xf numFmtId="0" fontId="0" fillId="0" borderId="0" xfId="2" applyFont="1" applyFill="1" applyBorder="1" applyAlignment="1" applyProtection="1">
      <alignment shrinkToFit="1"/>
    </xf>
    <xf numFmtId="0" fontId="1" fillId="0" borderId="0" xfId="2" applyFont="1" applyFill="1" applyBorder="1" applyAlignment="1" applyProtection="1">
      <alignment shrinkToFit="1"/>
    </xf>
    <xf numFmtId="0" fontId="0" fillId="2" borderId="12" xfId="2" applyFont="1" applyFill="1" applyBorder="1" applyAlignment="1" applyProtection="1">
      <alignment shrinkToFit="1"/>
    </xf>
    <xf numFmtId="0" fontId="4" fillId="2" borderId="22" xfId="2" applyFont="1" applyFill="1" applyBorder="1" applyProtection="1"/>
    <xf numFmtId="178" fontId="1" fillId="2" borderId="46" xfId="2" applyNumberFormat="1" applyFill="1" applyBorder="1" applyProtection="1"/>
    <xf numFmtId="0" fontId="1" fillId="2" borderId="25" xfId="2" applyFill="1" applyBorder="1" applyAlignment="1" applyProtection="1">
      <alignment shrinkToFit="1"/>
    </xf>
    <xf numFmtId="178" fontId="1" fillId="2" borderId="47" xfId="2" applyNumberFormat="1" applyFill="1" applyBorder="1" applyProtection="1"/>
    <xf numFmtId="0" fontId="1" fillId="2" borderId="47" xfId="2" applyFill="1" applyBorder="1" applyAlignment="1" applyProtection="1">
      <alignment shrinkToFit="1"/>
    </xf>
    <xf numFmtId="178" fontId="1" fillId="2" borderId="13" xfId="2" applyNumberFormat="1" applyFill="1" applyBorder="1" applyProtection="1"/>
    <xf numFmtId="0" fontId="1" fillId="2" borderId="13" xfId="2" applyFill="1" applyBorder="1" applyProtection="1"/>
    <xf numFmtId="0" fontId="1" fillId="2" borderId="13" xfId="2" applyFont="1" applyFill="1" applyBorder="1" applyAlignment="1" applyProtection="1">
      <alignment horizontal="right"/>
    </xf>
    <xf numFmtId="0" fontId="1" fillId="2" borderId="17" xfId="2" applyFont="1" applyFill="1" applyBorder="1" applyAlignment="1" applyProtection="1">
      <alignment shrinkToFit="1"/>
    </xf>
    <xf numFmtId="0" fontId="0" fillId="0" borderId="9" xfId="2" applyFont="1" applyFill="1" applyBorder="1" applyAlignment="1" applyProtection="1">
      <alignment shrinkToFit="1"/>
    </xf>
    <xf numFmtId="0" fontId="1" fillId="2" borderId="13" xfId="2" applyFont="1" applyFill="1" applyBorder="1" applyAlignment="1" applyProtection="1">
      <alignment shrinkToFit="1"/>
    </xf>
    <xf numFmtId="0" fontId="1" fillId="2" borderId="0" xfId="2" applyFill="1" applyAlignment="1" applyProtection="1">
      <alignment shrinkToFit="1"/>
    </xf>
    <xf numFmtId="0" fontId="1" fillId="0" borderId="0" xfId="2" applyFill="1" applyAlignment="1" applyProtection="1">
      <alignment shrinkToFit="1"/>
    </xf>
    <xf numFmtId="0" fontId="1" fillId="0" borderId="0" xfId="2" applyFill="1" applyProtection="1"/>
    <xf numFmtId="0" fontId="46" fillId="0" borderId="0" xfId="0" applyFont="1" applyFill="1" applyAlignment="1" applyProtection="1">
      <alignment horizontal="center" vertical="center"/>
    </xf>
    <xf numFmtId="0" fontId="48" fillId="0" borderId="0" xfId="2" applyFont="1" applyFill="1" applyAlignment="1" applyProtection="1">
      <alignment vertical="center"/>
    </xf>
    <xf numFmtId="0" fontId="48" fillId="0" borderId="80" xfId="2" applyFont="1" applyFill="1" applyBorder="1" applyAlignment="1" applyProtection="1">
      <alignment vertical="center"/>
    </xf>
    <xf numFmtId="0" fontId="48" fillId="0" borderId="81" xfId="2" applyFont="1" applyFill="1" applyBorder="1" applyAlignment="1" applyProtection="1">
      <alignment vertical="center"/>
    </xf>
    <xf numFmtId="0" fontId="48" fillId="0" borderId="83" xfId="2" applyFont="1" applyFill="1" applyBorder="1" applyAlignment="1" applyProtection="1">
      <alignment vertical="center"/>
    </xf>
    <xf numFmtId="0" fontId="48" fillId="0" borderId="0" xfId="2" applyFont="1" applyFill="1" applyBorder="1" applyAlignment="1" applyProtection="1">
      <alignment vertical="center"/>
    </xf>
    <xf numFmtId="0" fontId="48" fillId="0" borderId="85" xfId="2" applyFont="1" applyFill="1" applyBorder="1" applyAlignment="1" applyProtection="1">
      <alignment vertical="center"/>
    </xf>
    <xf numFmtId="0" fontId="48" fillId="0" borderId="86" xfId="2" applyFont="1" applyFill="1" applyBorder="1" applyAlignment="1" applyProtection="1">
      <alignment vertical="center"/>
    </xf>
    <xf numFmtId="0" fontId="48" fillId="0" borderId="0" xfId="2" applyFont="1" applyFill="1" applyAlignment="1" applyProtection="1">
      <alignment vertical="center" shrinkToFit="1"/>
    </xf>
    <xf numFmtId="0" fontId="48" fillId="0" borderId="82" xfId="2" applyFont="1" applyFill="1" applyBorder="1" applyAlignment="1" applyProtection="1">
      <alignment vertical="center"/>
    </xf>
    <xf numFmtId="0" fontId="48" fillId="0" borderId="84" xfId="2" applyFont="1" applyFill="1" applyBorder="1" applyAlignment="1" applyProtection="1">
      <alignment vertical="center"/>
    </xf>
    <xf numFmtId="0" fontId="48" fillId="0" borderId="87" xfId="2" applyFont="1" applyFill="1" applyBorder="1" applyAlignment="1" applyProtection="1">
      <alignment vertical="center"/>
    </xf>
    <xf numFmtId="0" fontId="1" fillId="2" borderId="5" xfId="2" applyNumberFormat="1" applyFill="1" applyBorder="1" applyAlignment="1" applyProtection="1">
      <alignment horizontal="center" vertical="center"/>
    </xf>
    <xf numFmtId="0" fontId="8" fillId="2" borderId="37" xfId="2" applyFont="1" applyFill="1" applyBorder="1" applyAlignment="1" applyProtection="1">
      <alignment vertical="top" wrapText="1" shrinkToFit="1"/>
    </xf>
    <xf numFmtId="0" fontId="5" fillId="2" borderId="32" xfId="0" applyFont="1" applyFill="1" applyBorder="1" applyAlignment="1" applyProtection="1">
      <alignment horizontal="left" vertical="center" wrapText="1" indent="1"/>
    </xf>
    <xf numFmtId="0" fontId="5" fillId="2" borderId="10" xfId="0" applyFont="1" applyFill="1" applyBorder="1" applyAlignment="1" applyProtection="1">
      <alignment horizontal="left" vertical="center" wrapText="1" indent="1"/>
    </xf>
    <xf numFmtId="0" fontId="5" fillId="2" borderId="11" xfId="0" applyFont="1" applyFill="1" applyBorder="1" applyAlignment="1" applyProtection="1">
      <alignment horizontal="left" vertical="center" wrapText="1" indent="1"/>
    </xf>
    <xf numFmtId="0" fontId="5" fillId="2" borderId="5" xfId="0" applyFont="1" applyFill="1" applyBorder="1" applyAlignment="1" applyProtection="1">
      <alignment horizontal="left" vertical="center" wrapText="1" indent="1"/>
    </xf>
    <xf numFmtId="0" fontId="5" fillId="2" borderId="0" xfId="0" applyFont="1" applyFill="1" applyAlignment="1" applyProtection="1">
      <alignment horizontal="left" vertical="center" wrapText="1" indent="1"/>
    </xf>
    <xf numFmtId="0" fontId="5" fillId="2" borderId="8" xfId="0" applyFont="1" applyFill="1" applyBorder="1" applyAlignment="1" applyProtection="1">
      <alignment horizontal="left" vertical="center" wrapText="1" indent="1"/>
    </xf>
    <xf numFmtId="0" fontId="5" fillId="2" borderId="16" xfId="0" applyFont="1" applyFill="1" applyBorder="1" applyAlignment="1" applyProtection="1">
      <alignment horizontal="left" vertical="center" wrapText="1" indent="1"/>
    </xf>
    <xf numFmtId="0" fontId="5" fillId="2" borderId="13" xfId="0" applyFont="1" applyFill="1" applyBorder="1" applyAlignment="1" applyProtection="1">
      <alignment horizontal="left" vertical="center" wrapText="1" indent="1"/>
    </xf>
    <xf numFmtId="0" fontId="5" fillId="2" borderId="17" xfId="0" applyFont="1" applyFill="1" applyBorder="1" applyAlignment="1" applyProtection="1">
      <alignment horizontal="left" vertical="center" wrapText="1" indent="1"/>
    </xf>
    <xf numFmtId="49" fontId="5" fillId="3" borderId="41" xfId="0" applyNumberFormat="1" applyFont="1" applyFill="1" applyBorder="1" applyAlignment="1" applyProtection="1">
      <alignment vertical="center"/>
      <protection locked="0"/>
    </xf>
    <xf numFmtId="49" fontId="5" fillId="3" borderId="48" xfId="0" applyNumberFormat="1" applyFont="1" applyFill="1" applyBorder="1" applyAlignment="1" applyProtection="1">
      <alignment vertical="center"/>
      <protection locked="0"/>
    </xf>
    <xf numFmtId="49" fontId="5" fillId="3" borderId="20" xfId="0" applyNumberFormat="1" applyFont="1" applyFill="1" applyBorder="1" applyAlignment="1" applyProtection="1">
      <alignment vertical="center"/>
      <protection locked="0"/>
    </xf>
    <xf numFmtId="0" fontId="5" fillId="2" borderId="32"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xf>
    <xf numFmtId="0" fontId="5" fillId="2" borderId="4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4" xfId="0" applyFont="1" applyFill="1" applyBorder="1" applyAlignment="1" applyProtection="1">
      <alignment horizontal="center" vertical="center" shrinkToFit="1"/>
    </xf>
    <xf numFmtId="0" fontId="0" fillId="2" borderId="29" xfId="0" applyFill="1" applyBorder="1" applyAlignment="1" applyProtection="1">
      <alignment horizontal="center" vertical="center"/>
    </xf>
    <xf numFmtId="0" fontId="5" fillId="2" borderId="27" xfId="0" applyFont="1" applyFill="1" applyBorder="1" applyAlignment="1" applyProtection="1">
      <alignment horizontal="center" vertical="center" shrinkToFit="1"/>
    </xf>
    <xf numFmtId="0" fontId="0" fillId="2" borderId="9" xfId="0" applyFill="1" applyBorder="1" applyAlignment="1" applyProtection="1">
      <alignment vertical="center"/>
    </xf>
    <xf numFmtId="178" fontId="5" fillId="3" borderId="21" xfId="0" applyNumberFormat="1" applyFont="1" applyFill="1" applyBorder="1" applyAlignment="1" applyProtection="1">
      <alignment horizontal="center" vertical="center"/>
      <protection locked="0"/>
    </xf>
    <xf numFmtId="178" fontId="5" fillId="3" borderId="19" xfId="0" applyNumberFormat="1" applyFont="1" applyFill="1" applyBorder="1" applyAlignment="1" applyProtection="1">
      <alignment horizontal="center" vertical="center"/>
      <protection locked="0"/>
    </xf>
    <xf numFmtId="0" fontId="5" fillId="2" borderId="21" xfId="0" applyFont="1" applyFill="1" applyBorder="1" applyAlignment="1" applyProtection="1">
      <alignment horizontal="left" vertical="center" shrinkToFit="1"/>
    </xf>
    <xf numFmtId="0" fontId="5" fillId="2" borderId="6" xfId="0" applyFont="1" applyFill="1" applyBorder="1" applyAlignment="1" applyProtection="1">
      <alignment horizontal="left" vertical="center" shrinkToFit="1"/>
    </xf>
    <xf numFmtId="178" fontId="5" fillId="3" borderId="30" xfId="0" applyNumberFormat="1" applyFont="1" applyFill="1" applyBorder="1" applyAlignment="1" applyProtection="1">
      <alignment horizontal="center" vertical="center"/>
      <protection locked="0"/>
    </xf>
    <xf numFmtId="178" fontId="5" fillId="3" borderId="26" xfId="0" applyNumberFormat="1" applyFont="1" applyFill="1" applyBorder="1" applyAlignment="1" applyProtection="1">
      <alignment horizontal="center" vertical="center"/>
      <protection locked="0"/>
    </xf>
    <xf numFmtId="0" fontId="5" fillId="2" borderId="30" xfId="0" applyFont="1" applyFill="1" applyBorder="1" applyAlignment="1" applyProtection="1">
      <alignment horizontal="left" vertical="center" shrinkToFit="1"/>
    </xf>
    <xf numFmtId="0" fontId="5" fillId="2" borderId="31"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11" fillId="2" borderId="30" xfId="0" applyFont="1" applyFill="1" applyBorder="1" applyAlignment="1" applyProtection="1">
      <alignment horizontal="left" vertical="center" wrapText="1"/>
    </xf>
    <xf numFmtId="0" fontId="11" fillId="2" borderId="31"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5" fillId="2" borderId="19" xfId="0" applyFont="1" applyFill="1" applyBorder="1" applyAlignment="1" applyProtection="1">
      <alignment horizontal="left" vertical="center" shrinkToFit="1"/>
    </xf>
    <xf numFmtId="177" fontId="5" fillId="3" borderId="21" xfId="0" applyNumberFormat="1" applyFont="1" applyFill="1" applyBorder="1" applyAlignment="1" applyProtection="1">
      <alignment horizontal="center" vertical="center"/>
      <protection locked="0"/>
    </xf>
    <xf numFmtId="177" fontId="5" fillId="3" borderId="19" xfId="0" applyNumberFormat="1" applyFont="1" applyFill="1" applyBorder="1" applyAlignment="1" applyProtection="1">
      <alignment horizontal="center" vertical="center"/>
      <protection locked="0"/>
    </xf>
    <xf numFmtId="0" fontId="11" fillId="2" borderId="21"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78" fontId="5" fillId="2" borderId="7" xfId="0" applyNumberFormat="1" applyFont="1" applyFill="1" applyBorder="1" applyAlignment="1" applyProtection="1">
      <alignment horizontal="center" vertical="center"/>
    </xf>
    <xf numFmtId="178" fontId="5" fillId="2" borderId="19" xfId="0" applyNumberFormat="1" applyFont="1" applyFill="1" applyBorder="1" applyAlignment="1" applyProtection="1">
      <alignment horizontal="center" vertical="center"/>
    </xf>
    <xf numFmtId="0" fontId="0" fillId="2" borderId="10" xfId="0" applyFill="1" applyBorder="1" applyAlignment="1" applyProtection="1">
      <alignment horizontal="center" vertical="center" wrapText="1"/>
    </xf>
    <xf numFmtId="0" fontId="0" fillId="2" borderId="49"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48" xfId="0" applyFill="1" applyBorder="1" applyAlignment="1" applyProtection="1">
      <alignment vertical="center"/>
    </xf>
    <xf numFmtId="0" fontId="0" fillId="2" borderId="20" xfId="0" applyFill="1" applyBorder="1" applyAlignment="1" applyProtection="1">
      <alignment vertical="center"/>
    </xf>
    <xf numFmtId="0" fontId="5" fillId="2" borderId="41" xfId="0" applyFont="1" applyFill="1" applyBorder="1" applyAlignment="1" applyProtection="1">
      <alignment horizontal="center" vertical="center"/>
    </xf>
    <xf numFmtId="0" fontId="5" fillId="2" borderId="7" xfId="0" applyFont="1" applyFill="1" applyBorder="1" applyAlignment="1" applyProtection="1">
      <alignment horizontal="center" vertical="center" shrinkToFit="1"/>
    </xf>
    <xf numFmtId="0" fontId="0" fillId="2" borderId="19" xfId="0" applyFill="1" applyBorder="1" applyProtection="1">
      <alignment vertical="center"/>
    </xf>
    <xf numFmtId="0" fontId="5" fillId="2" borderId="21" xfId="0" applyFont="1" applyFill="1" applyBorder="1" applyAlignment="1" applyProtection="1">
      <alignment horizontal="center" vertical="center" shrinkToFit="1"/>
    </xf>
    <xf numFmtId="0" fontId="0" fillId="2" borderId="6" xfId="0" applyFill="1" applyBorder="1" applyAlignment="1" applyProtection="1">
      <alignment vertical="center"/>
    </xf>
    <xf numFmtId="0" fontId="0" fillId="2" borderId="19" xfId="0" applyFill="1" applyBorder="1" applyAlignment="1" applyProtection="1">
      <alignment vertical="center"/>
    </xf>
    <xf numFmtId="0" fontId="0" fillId="2" borderId="1" xfId="0" applyFill="1" applyBorder="1" applyAlignment="1" applyProtection="1">
      <alignment vertical="center"/>
    </xf>
    <xf numFmtId="0" fontId="5" fillId="2" borderId="5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178" fontId="5" fillId="2" borderId="50" xfId="0" applyNumberFormat="1" applyFont="1" applyFill="1" applyBorder="1" applyAlignment="1" applyProtection="1">
      <alignment horizontal="center" vertical="center"/>
    </xf>
    <xf numFmtId="178" fontId="5" fillId="2" borderId="26" xfId="0" applyNumberFormat="1" applyFont="1" applyFill="1" applyBorder="1" applyAlignment="1" applyProtection="1">
      <alignment horizontal="center" vertical="center"/>
    </xf>
    <xf numFmtId="0" fontId="5" fillId="2" borderId="26" xfId="0" applyFont="1" applyFill="1" applyBorder="1" applyAlignment="1" applyProtection="1">
      <alignment horizontal="left" vertical="center" shrinkToFit="1"/>
    </xf>
    <xf numFmtId="177" fontId="5" fillId="3" borderId="30" xfId="0" applyNumberFormat="1" applyFont="1" applyFill="1" applyBorder="1" applyAlignment="1" applyProtection="1">
      <alignment horizontal="center" vertical="center"/>
      <protection locked="0"/>
    </xf>
    <xf numFmtId="177" fontId="5" fillId="3" borderId="26"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shrinkToFit="1"/>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3" borderId="28"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25" fillId="2" borderId="50" xfId="0" applyFont="1" applyFill="1" applyBorder="1" applyAlignment="1" applyProtection="1">
      <alignment horizontal="center" vertical="center"/>
    </xf>
    <xf numFmtId="0" fontId="25" fillId="2" borderId="31" xfId="0" applyFont="1" applyFill="1" applyBorder="1" applyAlignment="1" applyProtection="1">
      <alignment horizontal="center" vertical="center"/>
    </xf>
    <xf numFmtId="0" fontId="5" fillId="2" borderId="5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5" fillId="3" borderId="28"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2" borderId="30"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3" borderId="2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3" borderId="17" xfId="0" applyFont="1" applyFill="1" applyBorder="1" applyAlignment="1" applyProtection="1">
      <alignment vertical="center"/>
      <protection locked="0"/>
    </xf>
    <xf numFmtId="0" fontId="5" fillId="2" borderId="19" xfId="0" applyFont="1" applyFill="1" applyBorder="1" applyAlignment="1" applyProtection="1">
      <alignment horizontal="center" vertical="center"/>
    </xf>
    <xf numFmtId="0" fontId="5" fillId="3" borderId="21"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2" borderId="6"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5" fillId="3" borderId="1" xfId="0" applyFont="1" applyFill="1" applyBorder="1" applyAlignment="1" applyProtection="1">
      <alignment vertical="center"/>
      <protection locked="0"/>
    </xf>
    <xf numFmtId="0" fontId="13" fillId="2" borderId="7"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5" fillId="3" borderId="12"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183" fontId="5" fillId="0" borderId="48" xfId="0" applyNumberFormat="1" applyFont="1" applyFill="1" applyBorder="1" applyAlignment="1" applyProtection="1">
      <alignment horizontal="center" vertical="center"/>
    </xf>
    <xf numFmtId="183" fontId="5" fillId="0" borderId="2" xfId="0" applyNumberFormat="1" applyFont="1" applyFill="1" applyBorder="1" applyAlignment="1" applyProtection="1">
      <alignment horizontal="center" vertical="center"/>
    </xf>
    <xf numFmtId="183" fontId="5" fillId="3" borderId="41" xfId="0" applyNumberFormat="1" applyFont="1" applyFill="1" applyBorder="1" applyAlignment="1" applyProtection="1">
      <alignment horizontal="left" vertical="center"/>
      <protection locked="0"/>
    </xf>
    <xf numFmtId="183" fontId="5" fillId="3" borderId="48" xfId="0" applyNumberFormat="1" applyFont="1" applyFill="1" applyBorder="1" applyAlignment="1" applyProtection="1">
      <alignment horizontal="left" vertical="center"/>
      <protection locked="0"/>
    </xf>
    <xf numFmtId="0" fontId="11" fillId="0" borderId="41" xfId="0" applyNumberFormat="1" applyFont="1" applyFill="1" applyBorder="1" applyAlignment="1" applyProtection="1">
      <alignment horizontal="center" vertical="center"/>
    </xf>
    <xf numFmtId="0" fontId="11" fillId="0" borderId="48" xfId="0" applyNumberFormat="1" applyFont="1" applyFill="1" applyBorder="1" applyAlignment="1" applyProtection="1">
      <alignment horizontal="center" vertical="center"/>
    </xf>
    <xf numFmtId="0" fontId="11" fillId="0" borderId="20" xfId="0" applyNumberFormat="1" applyFont="1" applyFill="1" applyBorder="1" applyAlignment="1" applyProtection="1">
      <alignment horizontal="center" vertical="center"/>
    </xf>
    <xf numFmtId="0" fontId="13" fillId="2" borderId="67" xfId="0" applyFont="1" applyFill="1" applyBorder="1" applyAlignment="1" applyProtection="1">
      <alignment horizontal="center" vertical="center"/>
    </xf>
    <xf numFmtId="0" fontId="20" fillId="2" borderId="62" xfId="0" applyFont="1" applyFill="1" applyBorder="1" applyAlignment="1" applyProtection="1">
      <alignment vertical="center"/>
    </xf>
    <xf numFmtId="0" fontId="20" fillId="2" borderId="68" xfId="0" applyFont="1" applyFill="1" applyBorder="1" applyAlignment="1" applyProtection="1">
      <alignment vertical="center"/>
    </xf>
    <xf numFmtId="0" fontId="5" fillId="4" borderId="61" xfId="0" applyFont="1" applyFill="1" applyBorder="1" applyAlignment="1" applyProtection="1">
      <alignment horizontal="left" vertical="center"/>
      <protection locked="0"/>
    </xf>
    <xf numFmtId="0" fontId="5" fillId="4" borderId="62" xfId="0" applyFont="1" applyFill="1" applyBorder="1" applyAlignment="1" applyProtection="1">
      <alignment horizontal="left" vertical="center"/>
      <protection locked="0"/>
    </xf>
    <xf numFmtId="0" fontId="5" fillId="4" borderId="63" xfId="0" applyFont="1" applyFill="1" applyBorder="1" applyAlignment="1" applyProtection="1">
      <alignment horizontal="left" vertical="center"/>
      <protection locked="0"/>
    </xf>
    <xf numFmtId="0" fontId="5" fillId="2" borderId="5"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54" xfId="0" applyFont="1" applyFill="1" applyBorder="1" applyAlignment="1" applyProtection="1">
      <alignment horizontal="center" vertical="center"/>
    </xf>
    <xf numFmtId="0" fontId="5" fillId="2" borderId="49"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176" fontId="13" fillId="0" borderId="6" xfId="0" applyNumberFormat="1" applyFont="1" applyFill="1" applyBorder="1" applyAlignment="1" applyProtection="1">
      <alignment horizontal="center" vertical="center"/>
    </xf>
    <xf numFmtId="176" fontId="13" fillId="0" borderId="1" xfId="0" applyNumberFormat="1" applyFont="1" applyFill="1" applyBorder="1" applyAlignment="1" applyProtection="1">
      <alignment horizontal="center" vertical="center"/>
    </xf>
    <xf numFmtId="0" fontId="36" fillId="3" borderId="28" xfId="0" applyFont="1" applyFill="1" applyBorder="1" applyAlignment="1" applyProtection="1">
      <alignment horizontal="left" vertical="center" wrapText="1"/>
      <protection locked="0"/>
    </xf>
    <xf numFmtId="0" fontId="36" fillId="3" borderId="12" xfId="0" applyFont="1" applyFill="1" applyBorder="1" applyAlignment="1" applyProtection="1">
      <alignment horizontal="left" vertical="center" wrapText="1"/>
      <protection locked="0"/>
    </xf>
    <xf numFmtId="0" fontId="36" fillId="3" borderId="18"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7" fillId="2" borderId="31" xfId="0" applyFont="1" applyFill="1" applyBorder="1" applyAlignment="1" applyProtection="1">
      <alignment horizontal="left" vertical="center" wrapText="1"/>
    </xf>
    <xf numFmtId="0" fontId="36" fillId="2" borderId="31" xfId="0" applyFont="1" applyFill="1" applyBorder="1" applyAlignment="1" applyProtection="1">
      <alignment horizontal="left" vertical="center" wrapText="1"/>
    </xf>
    <xf numFmtId="0" fontId="36" fillId="2" borderId="3" xfId="0" applyFont="1" applyFill="1" applyBorder="1" applyAlignment="1" applyProtection="1">
      <alignment horizontal="left" vertical="center" wrapText="1"/>
    </xf>
    <xf numFmtId="49" fontId="44" fillId="3" borderId="30" xfId="0" applyNumberFormat="1" applyFont="1" applyFill="1" applyBorder="1" applyAlignment="1" applyProtection="1">
      <alignment horizontal="center" vertical="center"/>
      <protection locked="0"/>
    </xf>
    <xf numFmtId="49" fontId="44" fillId="3" borderId="31" xfId="0" applyNumberFormat="1" applyFont="1" applyFill="1" applyBorder="1" applyAlignment="1" applyProtection="1">
      <alignment horizontal="center" vertical="center"/>
      <protection locked="0"/>
    </xf>
    <xf numFmtId="49" fontId="44" fillId="3" borderId="69" xfId="0" applyNumberFormat="1" applyFont="1" applyFill="1" applyBorder="1" applyAlignment="1" applyProtection="1">
      <alignment horizontal="center" vertical="center"/>
      <protection locked="0"/>
    </xf>
    <xf numFmtId="0" fontId="5" fillId="3" borderId="18" xfId="0" applyFont="1" applyFill="1" applyBorder="1" applyAlignment="1" applyProtection="1">
      <alignment horizontal="left" vertical="center"/>
      <protection locked="0"/>
    </xf>
    <xf numFmtId="0" fontId="5" fillId="2" borderId="28" xfId="0" applyFont="1" applyFill="1" applyBorder="1" applyAlignment="1" applyProtection="1">
      <alignment horizontal="center" vertical="center"/>
    </xf>
    <xf numFmtId="0" fontId="0" fillId="2" borderId="18" xfId="0" applyFill="1" applyBorder="1" applyAlignment="1" applyProtection="1">
      <alignment vertical="center"/>
    </xf>
    <xf numFmtId="0" fontId="6" fillId="2" borderId="0" xfId="0" applyFont="1" applyFill="1" applyAlignment="1" applyProtection="1">
      <alignment horizontal="center" vertical="center"/>
    </xf>
    <xf numFmtId="0" fontId="13" fillId="2" borderId="27"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184" fontId="8" fillId="0" borderId="27" xfId="0" applyNumberFormat="1" applyFont="1" applyFill="1" applyBorder="1" applyAlignment="1" applyProtection="1">
      <alignment horizontal="center" vertical="center"/>
    </xf>
    <xf numFmtId="184" fontId="8" fillId="0" borderId="9" xfId="0" applyNumberFormat="1" applyFont="1" applyFill="1" applyBorder="1" applyAlignment="1" applyProtection="1">
      <alignment horizontal="center" vertical="center"/>
    </xf>
    <xf numFmtId="184" fontId="8" fillId="0" borderId="29" xfId="0" applyNumberFormat="1" applyFont="1" applyFill="1" applyBorder="1" applyAlignment="1" applyProtection="1">
      <alignment horizontal="center" vertical="center"/>
    </xf>
    <xf numFmtId="184" fontId="8" fillId="0" borderId="28" xfId="0" applyNumberFormat="1" applyFont="1" applyFill="1" applyBorder="1" applyAlignment="1" applyProtection="1">
      <alignment horizontal="center" vertical="center"/>
    </xf>
    <xf numFmtId="184" fontId="8" fillId="0" borderId="12" xfId="0" applyNumberFormat="1" applyFont="1" applyFill="1" applyBorder="1" applyAlignment="1" applyProtection="1">
      <alignment horizontal="center" vertical="center"/>
    </xf>
    <xf numFmtId="184" fontId="8" fillId="0" borderId="18" xfId="0" applyNumberFormat="1" applyFont="1" applyFill="1" applyBorder="1" applyAlignment="1" applyProtection="1">
      <alignment horizontal="center" vertical="center"/>
    </xf>
    <xf numFmtId="49" fontId="0" fillId="2" borderId="27" xfId="0" applyNumberFormat="1" applyFont="1" applyFill="1" applyBorder="1" applyAlignment="1" applyProtection="1">
      <alignment horizontal="center" vertical="center"/>
    </xf>
    <xf numFmtId="49" fontId="0" fillId="2" borderId="9" xfId="0" applyNumberFormat="1" applyFont="1" applyFill="1" applyBorder="1" applyAlignment="1" applyProtection="1">
      <alignment horizontal="center" vertical="center"/>
    </xf>
    <xf numFmtId="49" fontId="0" fillId="2" borderId="29" xfId="0" applyNumberFormat="1" applyFont="1" applyFill="1" applyBorder="1" applyAlignment="1" applyProtection="1">
      <alignment horizontal="center" vertical="center"/>
    </xf>
    <xf numFmtId="49" fontId="0" fillId="2" borderId="28" xfId="0" applyNumberFormat="1" applyFont="1" applyFill="1" applyBorder="1" applyAlignment="1" applyProtection="1">
      <alignment horizontal="center" vertical="center"/>
    </xf>
    <xf numFmtId="49" fontId="0" fillId="2" borderId="12" xfId="0" applyNumberFormat="1" applyFont="1" applyFill="1" applyBorder="1" applyAlignment="1" applyProtection="1">
      <alignment horizontal="center" vertical="center"/>
    </xf>
    <xf numFmtId="49" fontId="0" fillId="2" borderId="18" xfId="0" applyNumberFormat="1" applyFont="1" applyFill="1" applyBorder="1" applyAlignment="1" applyProtection="1">
      <alignment horizontal="center" vertical="center"/>
    </xf>
    <xf numFmtId="0" fontId="3" fillId="2" borderId="0" xfId="0" applyFont="1" applyFill="1" applyAlignment="1" applyProtection="1">
      <alignment vertical="top"/>
    </xf>
    <xf numFmtId="0" fontId="5" fillId="2" borderId="0" xfId="0" applyFont="1" applyFill="1" applyAlignment="1" applyProtection="1">
      <alignment horizontal="left" vertical="center" wrapText="1"/>
    </xf>
    <xf numFmtId="0" fontId="5" fillId="2" borderId="0" xfId="0" applyFont="1" applyFill="1" applyAlignment="1" applyProtection="1">
      <alignment horizontal="left" vertical="center"/>
    </xf>
    <xf numFmtId="0" fontId="0" fillId="2" borderId="0" xfId="0" applyFill="1" applyAlignment="1" applyProtection="1">
      <alignment horizontal="left" vertical="center"/>
    </xf>
    <xf numFmtId="0" fontId="38" fillId="2" borderId="65" xfId="0" applyFont="1" applyFill="1" applyBorder="1" applyAlignment="1" applyProtection="1">
      <alignment horizontal="center" vertical="center"/>
    </xf>
    <xf numFmtId="0" fontId="38" fillId="2" borderId="66"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182" fontId="24" fillId="0"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44" fillId="3" borderId="51" xfId="0" applyFont="1" applyFill="1" applyBorder="1" applyAlignment="1" applyProtection="1">
      <alignment horizontal="center" vertical="center"/>
      <protection locked="0"/>
    </xf>
    <xf numFmtId="0" fontId="44" fillId="3" borderId="39" xfId="0" applyFont="1" applyFill="1" applyBorder="1" applyAlignment="1" applyProtection="1">
      <alignment horizontal="center" vertical="center"/>
      <protection locked="0"/>
    </xf>
    <xf numFmtId="0" fontId="44" fillId="3" borderId="52" xfId="0" applyFont="1" applyFill="1" applyBorder="1" applyAlignment="1" applyProtection="1">
      <alignment horizontal="center" vertical="center"/>
      <protection locked="0"/>
    </xf>
    <xf numFmtId="0" fontId="43" fillId="0" borderId="5"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5" fillId="0" borderId="7" xfId="3" applyFont="1" applyFill="1" applyBorder="1" applyAlignment="1" applyProtection="1">
      <alignment vertical="center"/>
    </xf>
    <xf numFmtId="0" fontId="5" fillId="0" borderId="6" xfId="3" applyFont="1" applyFill="1" applyBorder="1" applyAlignment="1" applyProtection="1">
      <alignment vertical="center"/>
    </xf>
    <xf numFmtId="0" fontId="5" fillId="0" borderId="19" xfId="3" applyFont="1" applyFill="1" applyBorder="1" applyAlignment="1" applyProtection="1">
      <alignment vertical="center"/>
    </xf>
    <xf numFmtId="0" fontId="5" fillId="0" borderId="50" xfId="3" applyFont="1" applyFill="1" applyBorder="1" applyAlignment="1" applyProtection="1">
      <alignment horizontal="left" vertical="center"/>
    </xf>
    <xf numFmtId="0" fontId="5" fillId="0" borderId="31" xfId="3" applyFont="1" applyFill="1" applyBorder="1" applyAlignment="1" applyProtection="1">
      <alignment horizontal="left" vertical="center"/>
    </xf>
    <xf numFmtId="0" fontId="5" fillId="0" borderId="26" xfId="3" applyFont="1" applyFill="1" applyBorder="1" applyAlignment="1" applyProtection="1">
      <alignment horizontal="left" vertical="center"/>
    </xf>
    <xf numFmtId="0" fontId="5" fillId="3" borderId="21"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187" fontId="5" fillId="3" borderId="30" xfId="0" applyNumberFormat="1" applyFont="1" applyFill="1" applyBorder="1" applyAlignment="1" applyProtection="1">
      <alignment horizontal="right" vertical="center"/>
      <protection locked="0"/>
    </xf>
    <xf numFmtId="187" fontId="5" fillId="3" borderId="31" xfId="0" applyNumberFormat="1" applyFont="1" applyFill="1" applyBorder="1" applyAlignment="1" applyProtection="1">
      <alignment horizontal="right" vertical="center"/>
      <protection locked="0"/>
    </xf>
    <xf numFmtId="187" fontId="5" fillId="3" borderId="21" xfId="0" applyNumberFormat="1" applyFont="1" applyFill="1" applyBorder="1" applyAlignment="1" applyProtection="1">
      <alignment horizontal="right" vertical="center"/>
      <protection locked="0"/>
    </xf>
    <xf numFmtId="187" fontId="5" fillId="3" borderId="6" xfId="0" applyNumberFormat="1" applyFont="1" applyFill="1" applyBorder="1" applyAlignment="1" applyProtection="1">
      <alignment horizontal="right" vertical="center"/>
      <protection locked="0"/>
    </xf>
    <xf numFmtId="0" fontId="5" fillId="3" borderId="2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20" fontId="5" fillId="3" borderId="21" xfId="0" applyNumberFormat="1" applyFont="1" applyFill="1" applyBorder="1" applyAlignment="1" applyProtection="1">
      <alignment horizontal="left" vertical="center" shrinkToFit="1"/>
      <protection locked="0"/>
    </xf>
    <xf numFmtId="20" fontId="5" fillId="3" borderId="6" xfId="0" applyNumberFormat="1" applyFont="1" applyFill="1" applyBorder="1" applyAlignment="1" applyProtection="1">
      <alignment horizontal="left" vertical="center" shrinkToFit="1"/>
      <protection locked="0"/>
    </xf>
    <xf numFmtId="20" fontId="5" fillId="3" borderId="1" xfId="0" applyNumberFormat="1" applyFont="1" applyFill="1" applyBorder="1" applyAlignment="1" applyProtection="1">
      <alignment horizontal="left" vertical="center" shrinkToFit="1"/>
      <protection locked="0"/>
    </xf>
    <xf numFmtId="0" fontId="5" fillId="0" borderId="7" xfId="3" applyFont="1" applyFill="1" applyBorder="1" applyAlignment="1" applyProtection="1">
      <alignment horizontal="left" vertical="center"/>
    </xf>
    <xf numFmtId="0" fontId="1" fillId="0" borderId="6" xfId="3" applyFill="1" applyBorder="1" applyAlignment="1" applyProtection="1">
      <alignment horizontal="left" vertical="center"/>
    </xf>
    <xf numFmtId="0" fontId="1" fillId="0" borderId="19" xfId="3" applyFill="1" applyBorder="1" applyAlignment="1" applyProtection="1">
      <alignment horizontal="left" vertical="center"/>
    </xf>
    <xf numFmtId="0" fontId="9" fillId="2" borderId="32"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2" borderId="49"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3" fillId="2" borderId="9" xfId="0" applyFont="1" applyFill="1" applyBorder="1" applyAlignment="1" applyProtection="1">
      <alignment vertical="center" shrinkToFit="1"/>
    </xf>
    <xf numFmtId="0" fontId="7" fillId="2" borderId="0" xfId="0" applyFont="1" applyFill="1" applyBorder="1" applyAlignment="1" applyProtection="1">
      <alignment horizontal="center" vertical="center"/>
    </xf>
    <xf numFmtId="0" fontId="0" fillId="2" borderId="6" xfId="0" applyFill="1" applyBorder="1" applyAlignment="1" applyProtection="1">
      <alignment horizontal="center" vertical="center" shrinkToFit="1"/>
    </xf>
    <xf numFmtId="0" fontId="0" fillId="2" borderId="6" xfId="0" applyFill="1" applyBorder="1" applyAlignment="1" applyProtection="1">
      <alignment horizontal="center" vertical="center"/>
    </xf>
    <xf numFmtId="0" fontId="0" fillId="2" borderId="19" xfId="0" applyFill="1" applyBorder="1" applyAlignment="1" applyProtection="1">
      <alignment horizontal="center" vertical="center"/>
    </xf>
    <xf numFmtId="0" fontId="5" fillId="0" borderId="21" xfId="3" applyFont="1" applyFill="1" applyBorder="1" applyAlignment="1" applyProtection="1">
      <alignment horizontal="center" vertical="center" shrinkToFit="1"/>
    </xf>
    <xf numFmtId="0" fontId="1" fillId="0" borderId="6" xfId="3" applyFill="1" applyBorder="1" applyAlignment="1" applyProtection="1">
      <alignment horizontal="center" vertical="center" shrinkToFit="1"/>
    </xf>
    <xf numFmtId="0" fontId="1" fillId="0" borderId="1" xfId="3" applyFill="1" applyBorder="1" applyAlignment="1" applyProtection="1">
      <alignment horizontal="center" vertical="center" shrinkToFit="1"/>
    </xf>
    <xf numFmtId="0" fontId="10" fillId="2" borderId="0" xfId="0" applyFont="1" applyFill="1" applyBorder="1" applyAlignment="1" applyProtection="1">
      <alignment horizontal="left" vertical="center"/>
    </xf>
    <xf numFmtId="182" fontId="24" fillId="3" borderId="9"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xf>
    <xf numFmtId="0" fontId="5" fillId="4" borderId="36" xfId="0" applyNumberFormat="1" applyFont="1" applyFill="1" applyBorder="1" applyAlignment="1" applyProtection="1">
      <alignment horizontal="center" vertical="center"/>
      <protection locked="0"/>
    </xf>
    <xf numFmtId="0" fontId="5" fillId="4" borderId="56" xfId="0" applyNumberFormat="1" applyFont="1" applyFill="1" applyBorder="1" applyAlignment="1" applyProtection="1">
      <alignment horizontal="center" vertical="center"/>
      <protection locked="0"/>
    </xf>
    <xf numFmtId="0" fontId="5" fillId="4" borderId="58" xfId="0" applyNumberFormat="1" applyFont="1" applyFill="1" applyBorder="1" applyAlignment="1" applyProtection="1">
      <alignment horizontal="center" vertical="center"/>
      <protection locked="0"/>
    </xf>
    <xf numFmtId="0" fontId="5" fillId="4" borderId="59" xfId="0" applyNumberFormat="1" applyFont="1" applyFill="1" applyBorder="1" applyAlignment="1" applyProtection="1">
      <alignment horizontal="center" vertical="center"/>
      <protection locked="0"/>
    </xf>
    <xf numFmtId="0" fontId="5" fillId="2" borderId="21" xfId="0" applyFont="1" applyFill="1" applyBorder="1" applyAlignment="1" applyProtection="1">
      <alignment vertical="center" shrinkToFit="1"/>
    </xf>
    <xf numFmtId="0" fontId="5" fillId="2" borderId="6" xfId="0" applyFont="1" applyFill="1" applyBorder="1" applyAlignment="1" applyProtection="1">
      <alignment vertical="center" shrinkToFit="1"/>
    </xf>
    <xf numFmtId="0" fontId="5" fillId="2" borderId="19" xfId="0" applyFont="1" applyFill="1" applyBorder="1" applyAlignment="1" applyProtection="1">
      <alignment vertical="center" shrinkToFit="1"/>
    </xf>
    <xf numFmtId="0" fontId="5" fillId="2" borderId="9"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2" borderId="28"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29" xfId="0" applyFont="1" applyFill="1" applyBorder="1" applyAlignment="1" applyProtection="1">
      <alignment horizontal="center" vertical="center" shrinkToFit="1"/>
    </xf>
    <xf numFmtId="0" fontId="5" fillId="2" borderId="18"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left" vertical="center"/>
    </xf>
    <xf numFmtId="0" fontId="0" fillId="2" borderId="10" xfId="0" applyFill="1" applyBorder="1" applyAlignment="1" applyProtection="1">
      <alignment horizontal="left" vertical="center"/>
    </xf>
    <xf numFmtId="0" fontId="0" fillId="2" borderId="11" xfId="0" applyFill="1" applyBorder="1" applyAlignment="1" applyProtection="1">
      <alignment horizontal="left" vertical="center"/>
    </xf>
    <xf numFmtId="0" fontId="0" fillId="2" borderId="49" xfId="0" applyFill="1" applyBorder="1" applyAlignment="1" applyProtection="1">
      <alignment horizontal="left" vertical="center"/>
    </xf>
    <xf numFmtId="0" fontId="0" fillId="2" borderId="12" xfId="0" applyFill="1" applyBorder="1" applyAlignment="1" applyProtection="1">
      <alignment horizontal="left" vertical="center"/>
    </xf>
    <xf numFmtId="0" fontId="0" fillId="2" borderId="4" xfId="0" applyFill="1" applyBorder="1" applyAlignment="1" applyProtection="1">
      <alignment horizontal="left" vertical="center"/>
    </xf>
    <xf numFmtId="0" fontId="5" fillId="2" borderId="49" xfId="0" applyFont="1" applyFill="1" applyBorder="1" applyAlignment="1" applyProtection="1">
      <alignment horizontal="center" vertical="center" shrinkToFit="1"/>
    </xf>
    <xf numFmtId="0" fontId="5" fillId="2" borderId="7" xfId="0" applyFont="1" applyFill="1" applyBorder="1" applyAlignment="1" applyProtection="1">
      <alignment vertical="center" shrinkToFit="1"/>
    </xf>
    <xf numFmtId="0" fontId="5" fillId="3" borderId="21"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5" fillId="3" borderId="27"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15" xfId="0" applyFont="1" applyFill="1" applyBorder="1" applyAlignment="1" applyProtection="1">
      <alignment vertical="center" wrapText="1"/>
      <protection locked="0"/>
    </xf>
    <xf numFmtId="0" fontId="5" fillId="3" borderId="28" xfId="0" applyFont="1" applyFill="1" applyBorder="1" applyAlignment="1" applyProtection="1">
      <alignment vertical="center" wrapText="1"/>
      <protection locked="0"/>
    </xf>
    <xf numFmtId="0" fontId="5" fillId="3" borderId="14"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5" fillId="3" borderId="49"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187" fontId="58" fillId="3" borderId="21" xfId="1" applyNumberFormat="1" applyFont="1" applyFill="1" applyBorder="1" applyAlignment="1" applyProtection="1">
      <alignment horizontal="right" vertical="center"/>
      <protection locked="0"/>
    </xf>
    <xf numFmtId="187" fontId="58" fillId="3" borderId="6" xfId="1" applyNumberFormat="1" applyFont="1" applyFill="1" applyBorder="1" applyAlignment="1" applyProtection="1">
      <alignment horizontal="right" vertical="center"/>
      <protection locked="0"/>
    </xf>
    <xf numFmtId="0" fontId="5" fillId="2" borderId="7" xfId="0" applyFont="1" applyFill="1" applyBorder="1" applyAlignment="1" applyProtection="1">
      <alignment horizontal="left" vertical="center" shrinkToFit="1"/>
    </xf>
    <xf numFmtId="0" fontId="3" fillId="2" borderId="10" xfId="0" applyFont="1" applyFill="1" applyBorder="1" applyAlignment="1" applyProtection="1">
      <alignment horizontal="left" vertical="center"/>
    </xf>
    <xf numFmtId="0" fontId="3" fillId="2" borderId="11"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5" fillId="3" borderId="6" xfId="0" applyFont="1" applyFill="1" applyBorder="1" applyAlignment="1" applyProtection="1">
      <alignment horizontal="right" vertical="center"/>
      <protection locked="0"/>
    </xf>
    <xf numFmtId="0" fontId="30" fillId="2" borderId="6" xfId="0" applyFont="1" applyFill="1" applyBorder="1" applyAlignment="1" applyProtection="1">
      <alignment vertical="center" wrapText="1"/>
    </xf>
    <xf numFmtId="0" fontId="30" fillId="2" borderId="1" xfId="0" applyFont="1" applyFill="1" applyBorder="1" applyAlignment="1" applyProtection="1">
      <alignment vertical="center" wrapText="1"/>
    </xf>
    <xf numFmtId="0" fontId="5" fillId="3" borderId="21" xfId="0" applyFont="1" applyFill="1" applyBorder="1" applyAlignment="1" applyProtection="1">
      <alignment horizontal="right" vertical="center"/>
      <protection locked="0"/>
    </xf>
    <xf numFmtId="0" fontId="5" fillId="3" borderId="0" xfId="0" applyNumberFormat="1" applyFont="1" applyFill="1" applyBorder="1" applyAlignment="1" applyProtection="1">
      <alignment horizontal="right" vertical="center"/>
      <protection locked="0"/>
    </xf>
    <xf numFmtId="0" fontId="3" fillId="2" borderId="4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5" fillId="2" borderId="14"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58" xfId="0" applyFont="1" applyFill="1" applyBorder="1" applyAlignment="1" applyProtection="1">
      <alignment horizontal="center" vertical="center"/>
    </xf>
    <xf numFmtId="0" fontId="5" fillId="2" borderId="59"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3" borderId="0" xfId="0" applyFont="1" applyFill="1" applyBorder="1" applyAlignment="1" applyProtection="1">
      <alignment horizontal="center" vertical="center"/>
      <protection locked="0"/>
    </xf>
    <xf numFmtId="14" fontId="5" fillId="2" borderId="0" xfId="0" applyNumberFormat="1" applyFont="1" applyFill="1" applyBorder="1" applyAlignment="1" applyProtection="1">
      <alignment horizontal="center" vertical="center" wrapText="1"/>
    </xf>
    <xf numFmtId="0" fontId="3" fillId="2" borderId="32" xfId="3" applyFont="1" applyFill="1" applyBorder="1" applyAlignment="1" applyProtection="1">
      <alignment vertical="center" wrapText="1"/>
    </xf>
    <xf numFmtId="0" fontId="3" fillId="2" borderId="10" xfId="3" applyFont="1" applyFill="1" applyBorder="1" applyAlignment="1" applyProtection="1">
      <alignment vertical="center" wrapText="1"/>
    </xf>
    <xf numFmtId="0" fontId="3" fillId="2" borderId="11" xfId="3" applyFont="1" applyFill="1" applyBorder="1" applyAlignment="1" applyProtection="1">
      <alignment vertical="center" wrapText="1"/>
    </xf>
    <xf numFmtId="0" fontId="3" fillId="2" borderId="49" xfId="3" applyFont="1" applyFill="1" applyBorder="1" applyAlignment="1" applyProtection="1">
      <alignment vertical="center" wrapText="1"/>
    </xf>
    <xf numFmtId="0" fontId="3" fillId="2" borderId="12" xfId="3" applyFont="1" applyFill="1" applyBorder="1" applyAlignment="1" applyProtection="1">
      <alignment vertical="center" wrapText="1"/>
    </xf>
    <xf numFmtId="0" fontId="3" fillId="2" borderId="4" xfId="3" applyFont="1" applyFill="1" applyBorder="1" applyAlignment="1" applyProtection="1">
      <alignment vertical="center" wrapText="1"/>
    </xf>
    <xf numFmtId="0" fontId="8" fillId="2" borderId="5" xfId="3" applyFont="1" applyFill="1" applyBorder="1" applyAlignment="1" applyProtection="1">
      <alignment vertical="center" wrapText="1"/>
    </xf>
    <xf numFmtId="0" fontId="8" fillId="2" borderId="0" xfId="3" applyFont="1" applyFill="1" applyBorder="1" applyAlignment="1" applyProtection="1">
      <alignment vertical="center"/>
    </xf>
    <xf numFmtId="0" fontId="8" fillId="2" borderId="8" xfId="3" applyFont="1" applyFill="1" applyBorder="1" applyAlignment="1" applyProtection="1">
      <alignment vertical="center"/>
    </xf>
    <xf numFmtId="0" fontId="8" fillId="2" borderId="49" xfId="3" applyFont="1" applyFill="1" applyBorder="1" applyAlignment="1" applyProtection="1">
      <alignment vertical="center"/>
    </xf>
    <xf numFmtId="0" fontId="8" fillId="2" borderId="12" xfId="3" applyFont="1" applyFill="1" applyBorder="1" applyAlignment="1" applyProtection="1">
      <alignment vertical="center"/>
    </xf>
    <xf numFmtId="0" fontId="8" fillId="2" borderId="4" xfId="3" applyFont="1" applyFill="1" applyBorder="1" applyAlignment="1" applyProtection="1">
      <alignment vertical="center"/>
    </xf>
    <xf numFmtId="0" fontId="5" fillId="2" borderId="14" xfId="0" applyFont="1" applyFill="1" applyBorder="1" applyAlignment="1" applyProtection="1">
      <alignment horizontal="center" vertical="center" textRotation="255"/>
    </xf>
    <xf numFmtId="0" fontId="0" fillId="2" borderId="29" xfId="0" applyFill="1" applyBorder="1" applyAlignment="1" applyProtection="1">
      <alignment vertical="center"/>
    </xf>
    <xf numFmtId="0" fontId="5" fillId="2" borderId="5" xfId="0" applyFont="1" applyFill="1" applyBorder="1" applyAlignment="1" applyProtection="1">
      <alignment horizontal="center" vertical="center" textRotation="255"/>
    </xf>
    <xf numFmtId="0" fontId="0" fillId="2" borderId="23" xfId="0" applyFill="1" applyBorder="1" applyAlignment="1" applyProtection="1">
      <alignment vertical="center"/>
    </xf>
    <xf numFmtId="0" fontId="0" fillId="2" borderId="5" xfId="0" applyFill="1" applyBorder="1" applyAlignment="1" applyProtection="1">
      <alignment vertical="center"/>
    </xf>
    <xf numFmtId="0" fontId="0" fillId="2" borderId="54" xfId="0" applyFill="1" applyBorder="1" applyAlignment="1" applyProtection="1">
      <alignment vertical="center"/>
    </xf>
    <xf numFmtId="0" fontId="8" fillId="2" borderId="0" xfId="0" applyFont="1" applyFill="1" applyBorder="1" applyAlignment="1" applyProtection="1">
      <alignment vertical="center" wrapText="1"/>
    </xf>
    <xf numFmtId="0" fontId="8" fillId="2" borderId="0" xfId="0" applyFont="1" applyFill="1" applyAlignment="1" applyProtection="1">
      <alignment vertical="center"/>
    </xf>
    <xf numFmtId="0" fontId="8" fillId="2" borderId="8" xfId="0" applyFont="1" applyFill="1" applyBorder="1" applyAlignment="1" applyProtection="1">
      <alignment vertical="center"/>
    </xf>
    <xf numFmtId="0" fontId="5" fillId="0" borderId="7"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36" fillId="3" borderId="21" xfId="0" applyNumberFormat="1" applyFont="1" applyFill="1" applyBorder="1" applyAlignment="1" applyProtection="1">
      <alignment vertical="center"/>
      <protection locked="0"/>
    </xf>
    <xf numFmtId="0" fontId="36" fillId="3" borderId="6" xfId="0" applyNumberFormat="1" applyFont="1" applyFill="1" applyBorder="1" applyAlignment="1" applyProtection="1">
      <alignment vertical="center"/>
      <protection locked="0"/>
    </xf>
    <xf numFmtId="0" fontId="36" fillId="3" borderId="1" xfId="0" applyNumberFormat="1" applyFont="1" applyFill="1" applyBorder="1" applyAlignment="1" applyProtection="1">
      <alignment vertical="center"/>
      <protection locked="0"/>
    </xf>
    <xf numFmtId="0" fontId="0" fillId="2" borderId="12" xfId="0" applyFill="1" applyBorder="1" applyAlignment="1" applyProtection="1">
      <alignment vertical="center"/>
    </xf>
    <xf numFmtId="0" fontId="3" fillId="2" borderId="32" xfId="0" applyFont="1" applyFill="1" applyBorder="1" applyAlignment="1" applyProtection="1">
      <alignment horizontal="left" vertical="center" shrinkToFit="1"/>
    </xf>
    <xf numFmtId="0" fontId="3" fillId="2" borderId="10" xfId="0" applyFont="1" applyFill="1" applyBorder="1" applyAlignment="1" applyProtection="1">
      <alignment horizontal="left" vertical="center" shrinkToFit="1"/>
    </xf>
    <xf numFmtId="0" fontId="3" fillId="2" borderId="11" xfId="0" applyFont="1" applyFill="1" applyBorder="1" applyAlignment="1" applyProtection="1">
      <alignment horizontal="left" vertical="center" shrinkToFit="1"/>
    </xf>
    <xf numFmtId="0" fontId="3" fillId="2" borderId="49" xfId="0" applyFont="1" applyFill="1" applyBorder="1" applyAlignment="1" applyProtection="1">
      <alignment horizontal="left" vertical="center" shrinkToFit="1"/>
    </xf>
    <xf numFmtId="0" fontId="3" fillId="2" borderId="12" xfId="0" applyFont="1" applyFill="1" applyBorder="1" applyAlignment="1" applyProtection="1">
      <alignment horizontal="left" vertical="center" shrinkToFit="1"/>
    </xf>
    <xf numFmtId="0" fontId="3" fillId="2" borderId="4" xfId="0" applyFont="1" applyFill="1" applyBorder="1" applyAlignment="1" applyProtection="1">
      <alignment horizontal="left" vertical="center" shrinkToFit="1"/>
    </xf>
    <xf numFmtId="0" fontId="5" fillId="3" borderId="19" xfId="0" applyFont="1" applyFill="1" applyBorder="1" applyAlignment="1" applyProtection="1">
      <alignment horizontal="left" vertical="center"/>
      <protection locked="0"/>
    </xf>
    <xf numFmtId="0" fontId="5" fillId="2" borderId="22"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5" fillId="3" borderId="6" xfId="0" applyNumberFormat="1" applyFont="1" applyFill="1" applyBorder="1" applyAlignment="1" applyProtection="1">
      <alignment horizontal="left" vertical="center" wrapText="1"/>
      <protection locked="0"/>
    </xf>
    <xf numFmtId="0" fontId="5" fillId="3" borderId="1" xfId="0" applyNumberFormat="1" applyFont="1" applyFill="1" applyBorder="1" applyAlignment="1" applyProtection="1">
      <alignment horizontal="left" vertical="center" wrapText="1"/>
      <protection locked="0"/>
    </xf>
    <xf numFmtId="49" fontId="5" fillId="3" borderId="21"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0" fontId="5" fillId="2" borderId="9" xfId="0" applyFont="1" applyFill="1" applyBorder="1" applyAlignment="1" applyProtection="1">
      <alignment horizontal="center" vertical="center" textRotation="255"/>
    </xf>
    <xf numFmtId="0" fontId="5" fillId="2" borderId="0" xfId="0" applyFont="1" applyFill="1" applyBorder="1" applyAlignment="1" applyProtection="1">
      <alignment horizontal="center" vertical="center" textRotation="255"/>
    </xf>
    <xf numFmtId="0" fontId="5" fillId="3" borderId="21" xfId="0" applyFont="1" applyFill="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0" fontId="5" fillId="3" borderId="19" xfId="0" applyFont="1" applyFill="1" applyBorder="1" applyAlignment="1" applyProtection="1">
      <alignment vertical="center" wrapText="1"/>
      <protection locked="0"/>
    </xf>
    <xf numFmtId="0" fontId="1" fillId="2" borderId="5" xfId="2" applyNumberFormat="1" applyFill="1" applyBorder="1" applyAlignment="1" applyProtection="1">
      <alignment horizontal="center" vertical="center"/>
    </xf>
    <xf numFmtId="0" fontId="8" fillId="2" borderId="37" xfId="2" applyFont="1" applyFill="1" applyBorder="1" applyAlignment="1" applyProtection="1">
      <alignment vertical="top" wrapText="1" shrinkToFit="1"/>
    </xf>
    <xf numFmtId="178" fontId="34" fillId="2" borderId="0" xfId="2" applyNumberFormat="1" applyFont="1" applyFill="1" applyBorder="1" applyAlignment="1" applyProtection="1">
      <alignment vertical="center" wrapText="1"/>
    </xf>
    <xf numFmtId="0" fontId="40" fillId="2" borderId="5" xfId="2" applyNumberFormat="1" applyFont="1" applyFill="1" applyBorder="1" applyAlignment="1" applyProtection="1">
      <alignment horizontal="center" vertical="center"/>
    </xf>
    <xf numFmtId="49" fontId="8" fillId="3" borderId="12" xfId="2" applyNumberFormat="1" applyFont="1" applyFill="1" applyBorder="1" applyAlignment="1" applyProtection="1">
      <alignment horizontal="left" shrinkToFit="1"/>
      <protection locked="0"/>
    </xf>
    <xf numFmtId="0" fontId="8" fillId="2" borderId="43" xfId="2" applyFont="1" applyFill="1" applyBorder="1" applyAlignment="1" applyProtection="1">
      <alignment vertical="top" wrapText="1" shrinkToFit="1"/>
    </xf>
    <xf numFmtId="0" fontId="0" fillId="0" borderId="0" xfId="2" applyFont="1" applyFill="1" applyBorder="1" applyAlignment="1" applyProtection="1">
      <alignment shrinkToFit="1"/>
    </xf>
    <xf numFmtId="0" fontId="0" fillId="0" borderId="0" xfId="0" applyFill="1" applyAlignment="1" applyProtection="1"/>
    <xf numFmtId="49" fontId="8" fillId="3" borderId="13" xfId="2" applyNumberFormat="1" applyFont="1" applyFill="1" applyBorder="1" applyAlignment="1" applyProtection="1">
      <alignment horizontal="left" shrinkToFit="1"/>
      <protection locked="0"/>
    </xf>
    <xf numFmtId="0" fontId="20" fillId="2" borderId="43" xfId="2" applyFont="1" applyFill="1" applyBorder="1" applyAlignment="1" applyProtection="1">
      <alignment vertical="top" wrapText="1" shrinkToFit="1"/>
    </xf>
    <xf numFmtId="0" fontId="20" fillId="2" borderId="37" xfId="2" applyFont="1" applyFill="1" applyBorder="1" applyAlignment="1" applyProtection="1">
      <alignment vertical="top" wrapText="1" shrinkToFit="1"/>
    </xf>
    <xf numFmtId="0" fontId="8" fillId="2" borderId="43" xfId="2" applyFont="1" applyFill="1" applyBorder="1" applyAlignment="1" applyProtection="1">
      <alignment horizontal="left" vertical="top" wrapText="1" shrinkToFit="1"/>
    </xf>
    <xf numFmtId="0" fontId="8" fillId="2" borderId="37" xfId="2" applyFont="1" applyFill="1" applyBorder="1" applyAlignment="1" applyProtection="1">
      <alignment horizontal="left" vertical="top" wrapText="1" shrinkToFit="1"/>
    </xf>
    <xf numFmtId="0" fontId="3" fillId="2" borderId="32" xfId="3" applyFont="1" applyFill="1" applyBorder="1" applyAlignment="1">
      <alignment horizontal="left" vertical="center"/>
    </xf>
    <xf numFmtId="0" fontId="1" fillId="2" borderId="10" xfId="3" applyFill="1" applyBorder="1" applyAlignment="1">
      <alignment horizontal="left" vertical="center"/>
    </xf>
    <xf numFmtId="0" fontId="1" fillId="2" borderId="49" xfId="3" applyFill="1" applyBorder="1" applyAlignment="1">
      <alignment horizontal="left" vertical="center"/>
    </xf>
    <xf numFmtId="0" fontId="1" fillId="2" borderId="12" xfId="3" applyFill="1" applyBorder="1" applyAlignment="1">
      <alignment horizontal="left" vertical="center"/>
    </xf>
    <xf numFmtId="49" fontId="5" fillId="2" borderId="42" xfId="3" applyNumberFormat="1" applyFont="1" applyFill="1" applyBorder="1" applyAlignment="1">
      <alignment horizontal="left" vertical="center" shrinkToFit="1"/>
    </xf>
    <xf numFmtId="49" fontId="5" fillId="2" borderId="44" xfId="3" applyNumberFormat="1" applyFont="1" applyFill="1" applyBorder="1" applyAlignment="1">
      <alignment horizontal="left" vertical="center" shrinkToFit="1"/>
    </xf>
    <xf numFmtId="49" fontId="1" fillId="2" borderId="45" xfId="3" applyNumberFormat="1" applyFill="1" applyBorder="1" applyAlignment="1">
      <alignment horizontal="left" vertical="center" shrinkToFit="1"/>
    </xf>
    <xf numFmtId="182" fontId="45" fillId="3" borderId="27" xfId="3" applyNumberFormat="1" applyFont="1" applyFill="1" applyBorder="1" applyAlignment="1" applyProtection="1">
      <alignment horizontal="center" vertical="center" wrapText="1" shrinkToFit="1"/>
      <protection locked="0"/>
    </xf>
    <xf numFmtId="182" fontId="45" fillId="3" borderId="9" xfId="3" applyNumberFormat="1" applyFont="1" applyFill="1" applyBorder="1" applyAlignment="1" applyProtection="1">
      <alignment horizontal="center" vertical="center" wrapText="1" shrinkToFit="1"/>
      <protection locked="0"/>
    </xf>
    <xf numFmtId="182" fontId="45" fillId="3" borderId="29" xfId="3" applyNumberFormat="1" applyFont="1" applyFill="1" applyBorder="1" applyAlignment="1" applyProtection="1">
      <alignment horizontal="center" vertical="center" wrapText="1" shrinkToFit="1"/>
      <protection locked="0"/>
    </xf>
    <xf numFmtId="0" fontId="5" fillId="2" borderId="27"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29" xfId="3" applyFont="1" applyFill="1" applyBorder="1" applyAlignment="1">
      <alignment horizontal="center" vertical="center" wrapText="1"/>
    </xf>
    <xf numFmtId="0" fontId="0" fillId="2" borderId="27" xfId="3" applyFont="1" applyFill="1" applyBorder="1" applyAlignment="1">
      <alignment vertical="center" wrapText="1" shrinkToFit="1"/>
    </xf>
    <xf numFmtId="0" fontId="0" fillId="2" borderId="9" xfId="3" applyFont="1" applyFill="1" applyBorder="1" applyAlignment="1">
      <alignment vertical="center" wrapText="1" shrinkToFit="1"/>
    </xf>
    <xf numFmtId="0" fontId="0" fillId="2" borderId="15" xfId="3" applyFont="1" applyFill="1" applyBorder="1" applyAlignment="1">
      <alignment vertical="center" wrapText="1" shrinkToFit="1"/>
    </xf>
    <xf numFmtId="0" fontId="0" fillId="2" borderId="28" xfId="3" applyFont="1" applyFill="1" applyBorder="1" applyAlignment="1">
      <alignment vertical="center" wrapText="1" shrinkToFit="1"/>
    </xf>
    <xf numFmtId="0" fontId="0" fillId="2" borderId="12" xfId="3" applyFont="1" applyFill="1" applyBorder="1" applyAlignment="1">
      <alignment vertical="center" wrapText="1" shrinkToFit="1"/>
    </xf>
    <xf numFmtId="0" fontId="0" fillId="2" borderId="4" xfId="3" applyFont="1" applyFill="1" applyBorder="1" applyAlignment="1">
      <alignment vertical="center" wrapText="1" shrinkToFit="1"/>
    </xf>
    <xf numFmtId="0" fontId="5" fillId="2" borderId="22" xfId="3" applyFont="1" applyFill="1" applyBorder="1" applyAlignment="1">
      <alignment vertical="top" wrapText="1" shrinkToFit="1"/>
    </xf>
    <xf numFmtId="0" fontId="5" fillId="2" borderId="0" xfId="3" applyFont="1" applyFill="1" applyBorder="1" applyAlignment="1">
      <alignment vertical="top" wrapText="1" shrinkToFit="1"/>
    </xf>
    <xf numFmtId="0" fontId="5" fillId="2" borderId="54" xfId="3" applyFont="1" applyFill="1" applyBorder="1" applyAlignment="1">
      <alignment vertical="top" wrapText="1" shrinkToFit="1"/>
    </xf>
    <xf numFmtId="0" fontId="5" fillId="2" borderId="28" xfId="3" applyFont="1" applyFill="1" applyBorder="1" applyAlignment="1">
      <alignment vertical="top" wrapText="1" shrinkToFit="1"/>
    </xf>
    <xf numFmtId="0" fontId="5" fillId="2" borderId="12" xfId="3" applyFont="1" applyFill="1" applyBorder="1" applyAlignment="1">
      <alignment vertical="top" wrapText="1" shrinkToFit="1"/>
    </xf>
    <xf numFmtId="0" fontId="5" fillId="2" borderId="18" xfId="3" applyFont="1" applyFill="1" applyBorder="1" applyAlignment="1">
      <alignment vertical="top" wrapText="1" shrinkToFit="1"/>
    </xf>
    <xf numFmtId="0" fontId="5" fillId="2" borderId="28" xfId="3" applyFont="1" applyFill="1" applyBorder="1" applyAlignment="1">
      <alignment horizontal="center" vertical="center" wrapText="1"/>
    </xf>
    <xf numFmtId="0" fontId="5" fillId="2" borderId="12" xfId="3" applyFont="1" applyFill="1" applyBorder="1" applyAlignment="1">
      <alignment horizontal="center" vertical="center" wrapText="1"/>
    </xf>
    <xf numFmtId="0" fontId="5" fillId="2" borderId="18" xfId="3" applyFont="1" applyFill="1" applyBorder="1" applyAlignment="1">
      <alignment horizontal="center" vertical="center" wrapText="1"/>
    </xf>
    <xf numFmtId="0" fontId="8" fillId="3" borderId="21" xfId="3" applyFont="1" applyFill="1" applyBorder="1" applyAlignment="1" applyProtection="1">
      <alignment horizontal="left" vertical="center" wrapText="1"/>
      <protection locked="0"/>
    </xf>
    <xf numFmtId="0" fontId="8" fillId="3" borderId="6" xfId="3" applyFont="1" applyFill="1" applyBorder="1" applyAlignment="1" applyProtection="1">
      <alignment horizontal="left" vertical="center" wrapText="1"/>
      <protection locked="0"/>
    </xf>
    <xf numFmtId="0" fontId="8" fillId="3" borderId="1" xfId="3" applyFont="1" applyFill="1" applyBorder="1" applyAlignment="1" applyProtection="1">
      <alignment horizontal="left" vertical="center" wrapText="1"/>
      <protection locked="0"/>
    </xf>
    <xf numFmtId="0" fontId="1" fillId="2" borderId="9" xfId="3" applyFill="1" applyBorder="1" applyAlignment="1">
      <alignment vertical="center" shrinkToFit="1"/>
    </xf>
    <xf numFmtId="0" fontId="1" fillId="2" borderId="15" xfId="3" applyFill="1" applyBorder="1" applyAlignment="1">
      <alignment vertical="center" shrinkToFit="1"/>
    </xf>
    <xf numFmtId="0" fontId="1" fillId="2" borderId="28" xfId="3" applyFill="1" applyBorder="1" applyAlignment="1">
      <alignment vertical="center" shrinkToFit="1"/>
    </xf>
    <xf numFmtId="0" fontId="1" fillId="2" borderId="12" xfId="3" applyFill="1" applyBorder="1" applyAlignment="1">
      <alignment vertical="center" shrinkToFit="1"/>
    </xf>
    <xf numFmtId="0" fontId="1" fillId="2" borderId="4" xfId="3" applyFill="1" applyBorder="1" applyAlignment="1">
      <alignment vertical="center" shrinkToFit="1"/>
    </xf>
    <xf numFmtId="49" fontId="1" fillId="2" borderId="44" xfId="3" applyNumberFormat="1" applyFill="1" applyBorder="1" applyAlignment="1">
      <alignment horizontal="left" vertical="center" shrinkToFit="1"/>
    </xf>
    <xf numFmtId="0" fontId="1" fillId="2" borderId="70" xfId="3" applyFill="1" applyBorder="1" applyAlignment="1">
      <alignment horizontal="left" vertical="center" shrinkToFit="1"/>
    </xf>
    <xf numFmtId="0" fontId="1" fillId="2" borderId="71" xfId="3" applyFill="1" applyBorder="1" applyAlignment="1">
      <alignment horizontal="left" vertical="center" shrinkToFit="1"/>
    </xf>
    <xf numFmtId="0" fontId="1" fillId="2" borderId="72" xfId="3" applyFill="1" applyBorder="1" applyAlignment="1">
      <alignment horizontal="left" vertical="center" shrinkToFit="1"/>
    </xf>
    <xf numFmtId="0" fontId="1" fillId="2" borderId="73" xfId="3" applyFill="1" applyBorder="1" applyAlignment="1">
      <alignment horizontal="left" vertical="center"/>
    </xf>
    <xf numFmtId="0" fontId="1" fillId="2" borderId="74" xfId="3" applyFill="1" applyBorder="1" applyAlignment="1">
      <alignment horizontal="left" vertical="center"/>
    </xf>
    <xf numFmtId="0" fontId="1" fillId="2" borderId="75" xfId="3" applyFill="1" applyBorder="1" applyAlignment="1">
      <alignment horizontal="left" vertical="center"/>
    </xf>
    <xf numFmtId="0" fontId="5" fillId="2" borderId="28" xfId="3" applyFont="1" applyFill="1" applyBorder="1" applyAlignment="1">
      <alignment horizontal="left" vertical="top" wrapText="1" shrinkToFit="1"/>
    </xf>
    <xf numFmtId="0" fontId="5" fillId="2" borderId="12" xfId="3" applyFont="1" applyFill="1" applyBorder="1" applyAlignment="1">
      <alignment horizontal="left" vertical="top" wrapText="1" shrinkToFit="1"/>
    </xf>
    <xf numFmtId="0" fontId="5" fillId="2" borderId="18" xfId="3" applyFont="1" applyFill="1" applyBorder="1" applyAlignment="1">
      <alignment horizontal="left" vertical="top" wrapText="1" shrinkToFit="1"/>
    </xf>
    <xf numFmtId="0" fontId="1" fillId="2" borderId="76" xfId="3" applyFill="1" applyBorder="1" applyAlignment="1">
      <alignment horizontal="left" vertical="center"/>
    </xf>
    <xf numFmtId="0" fontId="1" fillId="2" borderId="77" xfId="3" applyFill="1" applyBorder="1" applyAlignment="1">
      <alignment horizontal="left" vertical="center"/>
    </xf>
    <xf numFmtId="0" fontId="1" fillId="2" borderId="78" xfId="3" applyFill="1" applyBorder="1" applyAlignment="1">
      <alignment horizontal="left" vertical="center"/>
    </xf>
    <xf numFmtId="49" fontId="1" fillId="2" borderId="46" xfId="3" applyNumberFormat="1" applyFill="1" applyBorder="1" applyAlignment="1">
      <alignment horizontal="left" vertical="center" shrinkToFit="1"/>
    </xf>
    <xf numFmtId="182" fontId="45" fillId="3" borderId="22" xfId="3" applyNumberFormat="1" applyFont="1" applyFill="1" applyBorder="1" applyAlignment="1" applyProtection="1">
      <alignment horizontal="center" vertical="center" wrapText="1" shrinkToFit="1"/>
      <protection locked="0"/>
    </xf>
    <xf numFmtId="182" fontId="45" fillId="3" borderId="0" xfId="3" applyNumberFormat="1" applyFont="1" applyFill="1" applyBorder="1" applyAlignment="1" applyProtection="1">
      <alignment horizontal="center" vertical="center" wrapText="1" shrinkToFit="1"/>
      <protection locked="0"/>
    </xf>
    <xf numFmtId="182" fontId="45" fillId="3" borderId="54" xfId="3" applyNumberFormat="1" applyFont="1" applyFill="1" applyBorder="1" applyAlignment="1" applyProtection="1">
      <alignment horizontal="center" vertical="center" wrapText="1" shrinkToFit="1"/>
      <protection locked="0"/>
    </xf>
    <xf numFmtId="0" fontId="5" fillId="2" borderId="22"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54" xfId="3" applyFont="1" applyFill="1" applyBorder="1" applyAlignment="1">
      <alignment horizontal="center" vertical="center" wrapText="1"/>
    </xf>
    <xf numFmtId="0" fontId="0" fillId="2" borderId="21" xfId="3" applyFont="1" applyFill="1" applyBorder="1" applyAlignment="1">
      <alignment horizontal="left" vertical="center" shrinkToFit="1"/>
    </xf>
    <xf numFmtId="0" fontId="1" fillId="2" borderId="6" xfId="3" applyFill="1" applyBorder="1" applyAlignment="1">
      <alignment horizontal="left" vertical="center" shrinkToFit="1"/>
    </xf>
    <xf numFmtId="0" fontId="1" fillId="2" borderId="1" xfId="3" applyFill="1" applyBorder="1" applyAlignment="1">
      <alignment horizontal="left" vertical="center" shrinkToFit="1"/>
    </xf>
    <xf numFmtId="0" fontId="11" fillId="2" borderId="24" xfId="3" applyFont="1" applyFill="1" applyBorder="1" applyAlignment="1">
      <alignment horizontal="left" vertical="top" wrapText="1" shrinkToFit="1"/>
    </xf>
    <xf numFmtId="0" fontId="11" fillId="2" borderId="13" xfId="3" applyFont="1" applyFill="1" applyBorder="1" applyAlignment="1">
      <alignment horizontal="left" vertical="top" wrapText="1" shrinkToFit="1"/>
    </xf>
    <xf numFmtId="0" fontId="11" fillId="2" borderId="25" xfId="3" applyFont="1" applyFill="1" applyBorder="1" applyAlignment="1">
      <alignment horizontal="left" vertical="top" wrapText="1" shrinkToFit="1"/>
    </xf>
    <xf numFmtId="0" fontId="5" fillId="2" borderId="24" xfId="3" applyFont="1" applyFill="1" applyBorder="1" applyAlignment="1">
      <alignment horizontal="center" vertical="center" wrapText="1"/>
    </xf>
    <xf numFmtId="0" fontId="5" fillId="2" borderId="13" xfId="3" applyFont="1" applyFill="1" applyBorder="1" applyAlignment="1">
      <alignment horizontal="center" vertical="center" wrapText="1"/>
    </xf>
    <xf numFmtId="0" fontId="5" fillId="2" borderId="25" xfId="3" applyFont="1" applyFill="1" applyBorder="1" applyAlignment="1">
      <alignment horizontal="center" vertical="center" wrapText="1"/>
    </xf>
    <xf numFmtId="0" fontId="8" fillId="3" borderId="30" xfId="3" applyFont="1" applyFill="1" applyBorder="1" applyAlignment="1" applyProtection="1">
      <alignment horizontal="left" vertical="center" wrapText="1"/>
      <protection locked="0"/>
    </xf>
    <xf numFmtId="0" fontId="8" fillId="3" borderId="31" xfId="3" applyFont="1" applyFill="1" applyBorder="1" applyAlignment="1" applyProtection="1">
      <alignment horizontal="left" vertical="center" wrapText="1"/>
      <protection locked="0"/>
    </xf>
    <xf numFmtId="0" fontId="8" fillId="3" borderId="3" xfId="3" applyFont="1" applyFill="1" applyBorder="1" applyAlignment="1" applyProtection="1">
      <alignment horizontal="left" vertical="center" wrapText="1"/>
      <protection locked="0"/>
    </xf>
    <xf numFmtId="0" fontId="20" fillId="3" borderId="21" xfId="0" applyFont="1" applyFill="1" applyBorder="1" applyAlignment="1" applyProtection="1">
      <alignment horizontal="right" vertical="center" shrinkToFit="1"/>
      <protection locked="0"/>
    </xf>
    <xf numFmtId="0" fontId="20" fillId="3" borderId="6" xfId="0" applyFont="1" applyFill="1" applyBorder="1" applyAlignment="1" applyProtection="1">
      <alignment horizontal="right" vertical="center" shrinkToFit="1"/>
      <protection locked="0"/>
    </xf>
    <xf numFmtId="0" fontId="14" fillId="2" borderId="32"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3" fillId="2" borderId="54" xfId="0" applyFont="1" applyFill="1" applyBorder="1" applyAlignment="1" applyProtection="1">
      <alignment horizontal="center" vertical="center" textRotation="255"/>
    </xf>
    <xf numFmtId="0" fontId="13" fillId="2" borderId="25" xfId="0" applyFont="1" applyFill="1" applyBorder="1" applyAlignment="1" applyProtection="1">
      <alignment horizontal="center" vertical="center" textRotation="255"/>
    </xf>
    <xf numFmtId="0" fontId="13" fillId="2" borderId="43" xfId="0" applyFont="1" applyFill="1" applyBorder="1" applyAlignment="1" applyProtection="1">
      <alignment horizontal="center" vertical="center" textRotation="255"/>
    </xf>
    <xf numFmtId="0" fontId="13" fillId="2" borderId="37" xfId="0" applyFont="1" applyFill="1" applyBorder="1" applyAlignment="1" applyProtection="1">
      <alignment horizontal="center" vertical="center" textRotation="255"/>
    </xf>
    <xf numFmtId="0" fontId="13" fillId="2" borderId="38" xfId="0" applyFont="1" applyFill="1" applyBorder="1" applyAlignment="1" applyProtection="1">
      <alignment horizontal="center" vertical="center" textRotation="255"/>
    </xf>
    <xf numFmtId="0" fontId="20" fillId="3" borderId="21"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20" fillId="3" borderId="19" xfId="0" applyFont="1" applyFill="1" applyBorder="1" applyAlignment="1" applyProtection="1">
      <alignment horizontal="center" vertical="center" shrinkToFit="1"/>
      <protection locked="0"/>
    </xf>
    <xf numFmtId="0" fontId="20" fillId="3" borderId="21" xfId="0" applyFont="1" applyFill="1" applyBorder="1" applyAlignment="1" applyProtection="1">
      <alignment horizontal="right" vertical="center"/>
      <protection locked="0"/>
    </xf>
    <xf numFmtId="0" fontId="20" fillId="3" borderId="6" xfId="0" applyFont="1" applyFill="1" applyBorder="1" applyAlignment="1" applyProtection="1">
      <alignment horizontal="right" vertical="center"/>
      <protection locked="0"/>
    </xf>
    <xf numFmtId="0" fontId="20" fillId="3" borderId="30" xfId="0"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xf>
    <xf numFmtId="0" fontId="13" fillId="2" borderId="12" xfId="0" applyFont="1" applyFill="1" applyBorder="1" applyAlignment="1" applyProtection="1">
      <alignment horizontal="center" vertical="center" shrinkToFit="1"/>
    </xf>
    <xf numFmtId="0" fontId="13" fillId="2" borderId="18" xfId="0" applyFont="1" applyFill="1" applyBorder="1" applyAlignment="1" applyProtection="1">
      <alignment horizontal="center" vertical="center" shrinkToFit="1"/>
    </xf>
    <xf numFmtId="0" fontId="20" fillId="3" borderId="30" xfId="0" applyFont="1" applyFill="1" applyBorder="1" applyAlignment="1" applyProtection="1">
      <alignment horizontal="right" vertical="center"/>
      <protection locked="0"/>
    </xf>
    <xf numFmtId="0" fontId="20" fillId="3" borderId="31" xfId="0" applyFont="1" applyFill="1" applyBorder="1" applyAlignment="1" applyProtection="1">
      <alignment horizontal="right" vertical="center"/>
      <protection locked="0"/>
    </xf>
    <xf numFmtId="0" fontId="11" fillId="2" borderId="21"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88" xfId="0" applyFont="1" applyFill="1" applyBorder="1" applyAlignment="1" applyProtection="1">
      <alignment horizontal="center" vertical="center"/>
    </xf>
    <xf numFmtId="0" fontId="11" fillId="2" borderId="89"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0" fontId="13" fillId="2" borderId="54" xfId="0" applyFont="1" applyFill="1" applyBorder="1" applyAlignment="1" applyProtection="1">
      <alignment horizontal="center" vertical="center" textRotation="255" shrinkToFit="1"/>
    </xf>
    <xf numFmtId="0" fontId="13" fillId="2" borderId="25" xfId="0" applyFont="1" applyFill="1" applyBorder="1" applyAlignment="1" applyProtection="1">
      <alignment horizontal="center" vertical="center" textRotation="255" shrinkToFit="1"/>
    </xf>
    <xf numFmtId="0" fontId="20" fillId="3" borderId="35" xfId="0" applyFont="1" applyFill="1" applyBorder="1" applyAlignment="1" applyProtection="1">
      <alignment horizontal="left" vertical="center" shrinkToFit="1"/>
      <protection locked="0"/>
    </xf>
    <xf numFmtId="0" fontId="20" fillId="3" borderId="21"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left" vertical="center" shrinkToFit="1"/>
      <protection locked="0"/>
    </xf>
    <xf numFmtId="0" fontId="20" fillId="3" borderId="19" xfId="0" applyFont="1" applyFill="1" applyBorder="1" applyAlignment="1" applyProtection="1">
      <alignment horizontal="left" vertical="center" shrinkToFit="1"/>
      <protection locked="0"/>
    </xf>
    <xf numFmtId="0" fontId="20" fillId="3" borderId="53" xfId="0" applyFont="1" applyFill="1" applyBorder="1" applyAlignment="1" applyProtection="1">
      <alignment horizontal="left" vertical="center" shrinkToFit="1"/>
      <protection locked="0"/>
    </xf>
    <xf numFmtId="0" fontId="20" fillId="3" borderId="30" xfId="0" applyFont="1" applyFill="1" applyBorder="1" applyAlignment="1" applyProtection="1">
      <alignment horizontal="right" vertical="center" shrinkToFit="1"/>
      <protection locked="0"/>
    </xf>
    <xf numFmtId="0" fontId="20" fillId="3" borderId="31" xfId="0" applyFont="1" applyFill="1" applyBorder="1" applyAlignment="1" applyProtection="1">
      <alignment horizontal="right" vertical="center" shrinkToFit="1"/>
      <protection locked="0"/>
    </xf>
    <xf numFmtId="0" fontId="20" fillId="3" borderId="28" xfId="0" applyFont="1" applyFill="1" applyBorder="1" applyAlignment="1" applyProtection="1">
      <alignment horizontal="left" vertical="center" shrinkToFit="1"/>
      <protection locked="0"/>
    </xf>
    <xf numFmtId="0" fontId="20" fillId="3" borderId="12" xfId="0" applyFont="1" applyFill="1" applyBorder="1" applyAlignment="1" applyProtection="1">
      <alignment horizontal="left" vertical="center" shrinkToFit="1"/>
      <protection locked="0"/>
    </xf>
    <xf numFmtId="0" fontId="20" fillId="3" borderId="18" xfId="0" applyFont="1" applyFill="1" applyBorder="1" applyAlignment="1" applyProtection="1">
      <alignment horizontal="left" vertical="center" shrinkToFit="1"/>
      <protection locked="0"/>
    </xf>
    <xf numFmtId="0" fontId="13" fillId="2" borderId="21"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19" xfId="0" applyFont="1" applyFill="1" applyBorder="1" applyAlignment="1" applyProtection="1">
      <alignment horizontal="left" vertical="center"/>
    </xf>
    <xf numFmtId="0" fontId="13" fillId="2" borderId="4" xfId="0" applyFont="1" applyFill="1" applyBorder="1" applyAlignment="1" applyProtection="1">
      <alignment horizontal="center" vertical="center"/>
    </xf>
    <xf numFmtId="0" fontId="20" fillId="3" borderId="35" xfId="0" applyFont="1" applyFill="1" applyBorder="1" applyAlignment="1" applyProtection="1">
      <alignment horizontal="right" vertical="center" shrinkToFit="1"/>
      <protection locked="0"/>
    </xf>
    <xf numFmtId="0" fontId="13" fillId="2" borderId="1"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54" xfId="0" applyFont="1" applyFill="1" applyBorder="1" applyAlignment="1" applyProtection="1">
      <alignment horizontal="center" vertical="center"/>
    </xf>
    <xf numFmtId="0" fontId="20" fillId="3" borderId="35" xfId="0" applyFont="1" applyFill="1" applyBorder="1" applyAlignment="1" applyProtection="1">
      <alignment horizontal="right" vertical="center"/>
      <protection locked="0"/>
    </xf>
    <xf numFmtId="0" fontId="20" fillId="3" borderId="24" xfId="0" applyFont="1" applyFill="1" applyBorder="1" applyAlignment="1" applyProtection="1">
      <alignment horizontal="right" vertical="center"/>
      <protection locked="0"/>
    </xf>
    <xf numFmtId="0" fontId="20" fillId="3" borderId="13" xfId="0" applyFont="1" applyFill="1" applyBorder="1" applyAlignment="1" applyProtection="1">
      <alignment horizontal="right" vertical="center"/>
      <protection locked="0"/>
    </xf>
    <xf numFmtId="0" fontId="0" fillId="3" borderId="35" xfId="0" applyFont="1" applyFill="1" applyBorder="1" applyAlignment="1" applyProtection="1">
      <alignment horizontal="left" vertical="center" shrinkToFit="1"/>
      <protection locked="0"/>
    </xf>
    <xf numFmtId="0" fontId="13" fillId="2" borderId="35"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0" fontId="13" fillId="2" borderId="35" xfId="0" applyFont="1" applyFill="1" applyBorder="1" applyAlignment="1" applyProtection="1">
      <alignment horizontal="center" vertical="center" textRotation="255"/>
    </xf>
    <xf numFmtId="0" fontId="13" fillId="2" borderId="35" xfId="0" applyFont="1" applyFill="1" applyBorder="1" applyAlignment="1" applyProtection="1">
      <alignment horizontal="left" vertical="center"/>
    </xf>
    <xf numFmtId="0" fontId="20" fillId="3" borderId="13" xfId="0" applyFont="1" applyFill="1" applyBorder="1" applyAlignment="1" applyProtection="1">
      <alignment horizontal="left" vertical="center" shrinkToFit="1"/>
      <protection locked="0"/>
    </xf>
    <xf numFmtId="0" fontId="20" fillId="3" borderId="30" xfId="0" applyFont="1" applyFill="1" applyBorder="1" applyAlignment="1" applyProtection="1">
      <alignment horizontal="left" vertical="center" shrinkToFit="1"/>
      <protection locked="0"/>
    </xf>
    <xf numFmtId="0" fontId="20" fillId="3" borderId="31" xfId="0" applyFont="1" applyFill="1" applyBorder="1" applyAlignment="1" applyProtection="1">
      <alignment horizontal="left" vertical="center" shrinkToFit="1"/>
      <protection locked="0"/>
    </xf>
    <xf numFmtId="0" fontId="20" fillId="3" borderId="26" xfId="0" applyFont="1" applyFill="1" applyBorder="1" applyAlignment="1" applyProtection="1">
      <alignment horizontal="left" vertical="center" shrinkToFit="1"/>
      <protection locked="0"/>
    </xf>
    <xf numFmtId="0" fontId="13" fillId="2" borderId="42" xfId="0" applyFont="1" applyFill="1" applyBorder="1" applyAlignment="1" applyProtection="1">
      <alignment horizontal="center" vertical="center" textRotation="255"/>
    </xf>
    <xf numFmtId="0" fontId="13" fillId="2" borderId="44" xfId="0" applyFont="1" applyFill="1" applyBorder="1" applyAlignment="1" applyProtection="1">
      <alignment horizontal="center" vertical="center" textRotation="255"/>
    </xf>
    <xf numFmtId="0" fontId="13" fillId="2" borderId="45" xfId="0" applyFont="1" applyFill="1" applyBorder="1" applyAlignment="1" applyProtection="1">
      <alignment horizontal="center" vertical="center" textRotation="255"/>
    </xf>
    <xf numFmtId="0" fontId="13" fillId="2" borderId="35"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xf>
    <xf numFmtId="0" fontId="13" fillId="2" borderId="43" xfId="0" applyFont="1" applyFill="1" applyBorder="1" applyAlignment="1" applyProtection="1">
      <alignment horizontal="center" vertical="center" textRotation="255" shrinkToFit="1"/>
    </xf>
    <xf numFmtId="0" fontId="13" fillId="2" borderId="37" xfId="0" applyFont="1" applyFill="1" applyBorder="1" applyAlignment="1" applyProtection="1">
      <alignment horizontal="center" vertical="center" textRotation="255" shrinkToFit="1"/>
    </xf>
    <xf numFmtId="0" fontId="13" fillId="2" borderId="38" xfId="0" applyFont="1" applyFill="1" applyBorder="1" applyAlignment="1" applyProtection="1">
      <alignment horizontal="center" vertical="center" textRotation="255" shrinkToFit="1"/>
    </xf>
    <xf numFmtId="20" fontId="13" fillId="2" borderId="21" xfId="0" applyNumberFormat="1" applyFont="1" applyFill="1" applyBorder="1" applyAlignment="1" applyProtection="1">
      <alignment horizontal="center" vertical="center"/>
    </xf>
    <xf numFmtId="20" fontId="13" fillId="2" borderId="6" xfId="0" applyNumberFormat="1" applyFont="1" applyFill="1" applyBorder="1" applyAlignment="1" applyProtection="1">
      <alignment horizontal="center" vertical="center"/>
    </xf>
    <xf numFmtId="20" fontId="13" fillId="2" borderId="19" xfId="0" applyNumberFormat="1" applyFont="1" applyFill="1" applyBorder="1" applyAlignment="1" applyProtection="1">
      <alignment horizontal="center" vertical="center"/>
    </xf>
    <xf numFmtId="0" fontId="13" fillId="2" borderId="46" xfId="0" applyFont="1" applyFill="1" applyBorder="1" applyAlignment="1" applyProtection="1">
      <alignment horizontal="center" vertical="center" textRotation="255"/>
    </xf>
    <xf numFmtId="0" fontId="13" fillId="2" borderId="24"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20" fillId="3" borderId="2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20" fillId="3" borderId="28"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wrapText="1"/>
      <protection locked="0"/>
    </xf>
    <xf numFmtId="0" fontId="20" fillId="3" borderId="18"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20" fillId="3" borderId="54"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wrapText="1"/>
      <protection locked="0"/>
    </xf>
    <xf numFmtId="0" fontId="20" fillId="3" borderId="25" xfId="0" applyFont="1" applyFill="1" applyBorder="1" applyAlignment="1" applyProtection="1">
      <alignment horizontal="center" vertical="center" wrapText="1"/>
      <protection locked="0"/>
    </xf>
    <xf numFmtId="177" fontId="32" fillId="3" borderId="32" xfId="0" applyNumberFormat="1" applyFont="1" applyFill="1" applyBorder="1" applyAlignment="1" applyProtection="1">
      <alignment horizontal="center" vertical="center"/>
      <protection locked="0"/>
    </xf>
    <xf numFmtId="177" fontId="32" fillId="3" borderId="11" xfId="0" applyNumberFormat="1" applyFont="1" applyFill="1" applyBorder="1" applyAlignment="1" applyProtection="1">
      <alignment horizontal="center" vertical="center"/>
      <protection locked="0"/>
    </xf>
    <xf numFmtId="177" fontId="32" fillId="3" borderId="16" xfId="0" applyNumberFormat="1" applyFont="1" applyFill="1" applyBorder="1" applyAlignment="1" applyProtection="1">
      <alignment horizontal="center" vertical="center"/>
      <protection locked="0"/>
    </xf>
    <xf numFmtId="177" fontId="32" fillId="3" borderId="17" xfId="0" applyNumberFormat="1" applyFont="1" applyFill="1" applyBorder="1" applyAlignment="1" applyProtection="1">
      <alignment horizontal="center" vertical="center"/>
      <protection locked="0"/>
    </xf>
  </cellXfs>
  <cellStyles count="5">
    <cellStyle name="桁区切り" xfId="1" builtinId="6"/>
    <cellStyle name="標準" xfId="0" builtinId="0"/>
    <cellStyle name="標準 2" xfId="3" xr:uid="{00000000-0005-0000-0000-000002000000}"/>
    <cellStyle name="標準_第１号様式　別紙１" xfId="4" xr:uid="{00000000-0005-0000-0000-000003000000}"/>
    <cellStyle name="標準_分類品目表(kai) 2" xfId="2" xr:uid="{00000000-0005-0000-0000-000004000000}"/>
  </cellStyles>
  <dxfs count="31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indexed="9"/>
        </patternFill>
      </fill>
    </dxf>
    <dxf>
      <fill>
        <patternFill>
          <bgColor indexed="9"/>
        </patternFill>
      </fill>
    </dxf>
    <dxf>
      <fill>
        <patternFill>
          <bgColor indexed="9"/>
        </patternFill>
      </fill>
    </dxf>
    <dxf>
      <fill>
        <patternFill patternType="none">
          <bgColor auto="1"/>
        </patternFill>
      </fill>
    </dxf>
    <dxf>
      <fill>
        <patternFill>
          <bgColor indexed="9"/>
        </patternFill>
      </fill>
    </dxf>
    <dxf>
      <font>
        <b/>
        <i val="0"/>
        <condense val="0"/>
        <extend val="0"/>
      </font>
    </dxf>
    <dxf>
      <font>
        <b val="0"/>
        <i val="0"/>
        <strike/>
        <condense val="0"/>
        <extend val="0"/>
      </font>
    </dxf>
    <dxf>
      <font>
        <strike/>
        <condense val="0"/>
        <extend val="0"/>
      </font>
    </dxf>
    <dxf>
      <font>
        <strike/>
        <condense val="0"/>
        <extend val="0"/>
      </font>
    </dxf>
    <dxf>
      <fill>
        <patternFill>
          <bgColor indexed="9"/>
        </patternFill>
      </fill>
    </dxf>
    <dxf>
      <font>
        <b/>
        <i val="0"/>
        <condense val="0"/>
        <extend val="0"/>
      </font>
    </dxf>
    <dxf>
      <font>
        <b val="0"/>
        <i val="0"/>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ill>
        <patternFill>
          <bgColor indexed="9"/>
        </patternFill>
      </fill>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ont>
        <condense val="0"/>
        <extend val="0"/>
        <color indexed="9"/>
      </font>
      <fill>
        <patternFill>
          <bgColor indexed="8"/>
        </patternFill>
      </fill>
    </dxf>
    <dxf>
      <font>
        <condense val="0"/>
        <extend val="0"/>
        <color indexed="9"/>
      </font>
      <fill>
        <patternFill>
          <bgColor indexed="8"/>
        </patternFill>
      </fill>
    </dxf>
    <dxf>
      <fill>
        <patternFill>
          <bgColor indexed="9"/>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9"/>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ndense val="0"/>
        <extend val="0"/>
        <color indexed="9"/>
      </font>
      <fill>
        <patternFill>
          <bgColor indexed="8"/>
        </patternFill>
      </fill>
    </dxf>
    <dxf>
      <fill>
        <patternFill>
          <bgColor indexed="9"/>
        </patternFill>
      </fill>
    </dxf>
    <dxf>
      <font>
        <condense val="0"/>
        <extend val="0"/>
        <color indexed="9"/>
      </font>
      <fill>
        <patternFill>
          <bgColor indexed="8"/>
        </patternFill>
      </fill>
    </dxf>
    <dxf>
      <fill>
        <patternFill>
          <bgColor indexed="9"/>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ont>
        <condense val="0"/>
        <extend val="0"/>
        <color indexed="9"/>
      </font>
      <fill>
        <patternFill>
          <bgColor indexed="8"/>
        </patternFill>
      </fill>
    </dxf>
    <dxf>
      <fill>
        <patternFill>
          <bgColor indexed="9"/>
        </patternFill>
      </fill>
    </dxf>
    <dxf>
      <font>
        <condense val="0"/>
        <extend val="0"/>
        <color indexed="9"/>
      </font>
      <fill>
        <patternFill>
          <bgColor indexed="8"/>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trike/>
        <condense val="0"/>
        <extend val="0"/>
      </font>
    </dxf>
    <dxf>
      <font>
        <strike/>
        <condense val="0"/>
        <extend val="0"/>
      </font>
    </dxf>
    <dxf>
      <fill>
        <patternFill>
          <bgColor theme="0"/>
        </patternFill>
      </fill>
    </dxf>
    <dxf>
      <fill>
        <patternFill>
          <bgColor theme="0"/>
        </patternFill>
      </fill>
    </dxf>
    <dxf>
      <fill>
        <patternFill>
          <bgColor theme="0"/>
        </patternFill>
      </fill>
    </dxf>
    <dxf>
      <fill>
        <patternFill>
          <bgColor theme="0"/>
        </patternFill>
      </fill>
    </dxf>
    <dxf>
      <fill>
        <patternFill>
          <bgColor indexed="9"/>
        </patternFill>
      </fill>
    </dxf>
    <dxf>
      <fill>
        <patternFill>
          <bgColor theme="0"/>
        </patternFill>
      </fill>
    </dxf>
    <dxf>
      <font>
        <strike/>
        <condense val="0"/>
        <extend val="0"/>
      </font>
    </dxf>
    <dxf>
      <font>
        <b/>
        <i val="0"/>
        <condense val="0"/>
        <extend val="0"/>
      </font>
    </dxf>
    <dxf>
      <font>
        <b/>
        <i val="0"/>
        <condense val="0"/>
        <extend val="0"/>
      </font>
    </dxf>
    <dxf>
      <font>
        <strike/>
        <condense val="0"/>
        <extend val="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ndense val="0"/>
        <extend val="0"/>
        <color indexed="10"/>
      </font>
      <fill>
        <patternFill patternType="none">
          <bgColor indexed="65"/>
        </patternFill>
      </fill>
    </dxf>
    <dxf>
      <fill>
        <patternFill>
          <bgColor indexed="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indexed="9"/>
        </patternFill>
      </fill>
    </dxf>
    <dxf>
      <fill>
        <patternFill>
          <bgColor theme="0"/>
        </patternFill>
      </fill>
    </dxf>
    <dxf>
      <font>
        <b/>
        <i val="0"/>
        <condense val="0"/>
        <extend val="0"/>
      </font>
    </dxf>
    <dxf>
      <font>
        <b val="0"/>
        <i val="0"/>
        <strike/>
        <condense val="0"/>
        <extend val="0"/>
      </font>
    </dxf>
    <dxf>
      <font>
        <b/>
        <i val="0"/>
        <condense val="0"/>
        <extend val="0"/>
      </font>
    </dxf>
    <dxf>
      <font>
        <b val="0"/>
        <i val="0"/>
        <strike/>
        <condense val="0"/>
        <extend val="0"/>
      </font>
    </dxf>
    <dxf>
      <fill>
        <patternFill>
          <bgColor theme="0"/>
        </patternFill>
      </fill>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ont>
        <b/>
        <i val="0"/>
        <condense val="0"/>
        <extend val="0"/>
      </font>
    </dxf>
    <dxf>
      <font>
        <b val="0"/>
        <i val="0"/>
        <strike/>
        <condense val="0"/>
        <extend val="0"/>
      </font>
    </dxf>
    <dxf>
      <fill>
        <patternFill>
          <bgColor indexed="10"/>
        </patternFill>
      </fill>
    </dxf>
    <dxf>
      <fill>
        <patternFill>
          <bgColor indexed="10"/>
        </patternFill>
      </fill>
    </dxf>
    <dxf>
      <font>
        <condense val="0"/>
        <extend val="0"/>
        <color auto="1"/>
      </font>
      <fill>
        <patternFill>
          <bgColor indexed="9"/>
        </patternFill>
      </fill>
    </dxf>
    <dxf>
      <fill>
        <patternFill>
          <bgColor theme="0"/>
        </patternFill>
      </fill>
    </dxf>
    <dxf>
      <font>
        <strike/>
        <condense val="0"/>
        <extend val="0"/>
      </font>
    </dxf>
    <dxf>
      <font>
        <strike/>
        <condense val="0"/>
        <extend val="0"/>
      </font>
    </dxf>
    <dxf>
      <font>
        <strike/>
        <condense val="0"/>
        <extend val="0"/>
      </font>
    </dxf>
    <dxf>
      <font>
        <strike/>
        <condense val="0"/>
        <extend val="0"/>
      </font>
    </dxf>
    <dxf>
      <font>
        <b val="0"/>
        <i val="0"/>
        <condense val="0"/>
        <extend val="0"/>
      </font>
      <border>
        <left style="thin">
          <color indexed="64"/>
        </left>
        <right style="thin">
          <color indexed="64"/>
        </right>
        <top style="thin">
          <color indexed="64"/>
        </top>
        <bottom style="thin">
          <color indexed="64"/>
        </bottom>
      </border>
    </dxf>
    <dxf>
      <font>
        <strike/>
        <condense val="0"/>
        <extend val="0"/>
      </font>
    </dxf>
    <dxf>
      <font>
        <b val="0"/>
        <i val="0"/>
        <strike/>
        <condense val="0"/>
        <extend val="0"/>
      </font>
    </dxf>
    <dxf>
      <font>
        <strike val="0"/>
        <condense val="0"/>
        <extend val="0"/>
      </font>
      <border>
        <left style="thin">
          <color indexed="64"/>
        </left>
        <right style="thin">
          <color indexed="64"/>
        </right>
        <top style="thin">
          <color indexed="64"/>
        </top>
        <bottom style="thin">
          <color indexed="64"/>
        </bottom>
      </border>
    </dxf>
    <dxf>
      <fill>
        <patternFill>
          <bgColor indexed="9"/>
        </patternFill>
      </fill>
    </dxf>
    <dxf>
      <fill>
        <patternFill>
          <bgColor indexed="9"/>
        </patternFill>
      </fill>
    </dxf>
    <dxf>
      <fill>
        <patternFill>
          <bgColor indexed="9"/>
        </patternFill>
      </fill>
    </dxf>
    <dxf>
      <fill>
        <patternFill>
          <bgColor indexed="9"/>
        </patternFill>
      </fill>
    </dxf>
    <dxf>
      <font>
        <strike/>
        <condense val="0"/>
        <extend val="0"/>
      </font>
    </dxf>
    <dxf>
      <font>
        <b/>
        <i val="0"/>
        <condense val="0"/>
        <extend val="0"/>
      </font>
    </dxf>
    <dxf>
      <font>
        <strike/>
        <condense val="0"/>
        <extend val="0"/>
      </font>
    </dxf>
    <dxf>
      <font>
        <strike/>
        <condense val="0"/>
        <extend val="0"/>
      </font>
    </dxf>
    <dxf>
      <font>
        <b/>
        <i val="0"/>
        <condense val="0"/>
        <extend val="0"/>
      </font>
    </dxf>
    <dxf>
      <font>
        <b/>
        <i val="0"/>
        <condense val="0"/>
        <extend val="0"/>
      </font>
    </dxf>
    <dxf>
      <fill>
        <patternFill>
          <bgColor theme="0"/>
        </patternFill>
      </fill>
    </dxf>
    <dxf>
      <fill>
        <patternFill>
          <bgColor indexed="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indexed="9"/>
        </patternFill>
      </fill>
    </dxf>
  </dxfs>
  <tableStyles count="0" defaultTableStyle="TableStyleMedium9" defaultPivotStyle="PivotStyleLight16"/>
  <colors>
    <mruColors>
      <color rgb="FFFF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161925</xdr:colOff>
      <xdr:row>20</xdr:row>
      <xdr:rowOff>104774</xdr:rowOff>
    </xdr:from>
    <xdr:to>
      <xdr:col>2</xdr:col>
      <xdr:colOff>161925</xdr:colOff>
      <xdr:row>21</xdr:row>
      <xdr:rowOff>57148</xdr:rowOff>
    </xdr:to>
    <xdr:sp macro="" textlink="">
      <xdr:nvSpPr>
        <xdr:cNvPr id="3" name="屈折矢印 2">
          <a:extLst>
            <a:ext uri="{FF2B5EF4-FFF2-40B4-BE49-F238E27FC236}">
              <a16:creationId xmlns:a16="http://schemas.microsoft.com/office/drawing/2014/main" id="{00000000-0008-0000-0100-000003000000}"/>
            </a:ext>
          </a:extLst>
        </xdr:cNvPr>
        <xdr:cNvSpPr/>
      </xdr:nvSpPr>
      <xdr:spPr>
        <a:xfrm flipH="1" flipV="1">
          <a:off x="409575" y="4667249"/>
          <a:ext cx="219075" cy="19049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57582</xdr:colOff>
      <xdr:row>8</xdr:row>
      <xdr:rowOff>56717</xdr:rowOff>
    </xdr:from>
    <xdr:to>
      <xdr:col>41</xdr:col>
      <xdr:colOff>74900</xdr:colOff>
      <xdr:row>9</xdr:row>
      <xdr:rowOff>74035</xdr:rowOff>
    </xdr:to>
    <xdr:sp macro="" textlink="">
      <xdr:nvSpPr>
        <xdr:cNvPr id="3" name="フローチャート: 結合子 2">
          <a:extLst>
            <a:ext uri="{FF2B5EF4-FFF2-40B4-BE49-F238E27FC236}">
              <a16:creationId xmlns:a16="http://schemas.microsoft.com/office/drawing/2014/main" id="{08D1675B-9C82-4B61-8007-51A26D3B383E}"/>
            </a:ext>
          </a:extLst>
        </xdr:cNvPr>
        <xdr:cNvSpPr/>
      </xdr:nvSpPr>
      <xdr:spPr>
        <a:xfrm>
          <a:off x="7002173" y="1403206"/>
          <a:ext cx="203489"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57582</xdr:colOff>
      <xdr:row>9</xdr:row>
      <xdr:rowOff>143308</xdr:rowOff>
    </xdr:from>
    <xdr:to>
      <xdr:col>41</xdr:col>
      <xdr:colOff>74900</xdr:colOff>
      <xdr:row>10</xdr:row>
      <xdr:rowOff>160626</xdr:rowOff>
    </xdr:to>
    <xdr:sp macro="" textlink="">
      <xdr:nvSpPr>
        <xdr:cNvPr id="4" name="フローチャート: 結合子 3">
          <a:extLst>
            <a:ext uri="{FF2B5EF4-FFF2-40B4-BE49-F238E27FC236}">
              <a16:creationId xmlns:a16="http://schemas.microsoft.com/office/drawing/2014/main" id="{3AE707A9-75E2-4CE5-8A5F-952327FDDD1F}"/>
            </a:ext>
          </a:extLst>
        </xdr:cNvPr>
        <xdr:cNvSpPr/>
      </xdr:nvSpPr>
      <xdr:spPr>
        <a:xfrm>
          <a:off x="7132059" y="1693285"/>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11</xdr:row>
      <xdr:rowOff>56716</xdr:rowOff>
    </xdr:from>
    <xdr:to>
      <xdr:col>41</xdr:col>
      <xdr:colOff>77932</xdr:colOff>
      <xdr:row>12</xdr:row>
      <xdr:rowOff>74034</xdr:rowOff>
    </xdr:to>
    <xdr:sp macro="" textlink="">
      <xdr:nvSpPr>
        <xdr:cNvPr id="5" name="フローチャート: 結合子 4">
          <a:extLst>
            <a:ext uri="{FF2B5EF4-FFF2-40B4-BE49-F238E27FC236}">
              <a16:creationId xmlns:a16="http://schemas.microsoft.com/office/drawing/2014/main" id="{46B2FBE2-A797-4CD9-9BFE-61B5380A5FF9}"/>
            </a:ext>
          </a:extLst>
        </xdr:cNvPr>
        <xdr:cNvSpPr/>
      </xdr:nvSpPr>
      <xdr:spPr>
        <a:xfrm>
          <a:off x="7139853" y="1987693"/>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60614</xdr:colOff>
      <xdr:row>12</xdr:row>
      <xdr:rowOff>138545</xdr:rowOff>
    </xdr:from>
    <xdr:to>
      <xdr:col>41</xdr:col>
      <xdr:colOff>77932</xdr:colOff>
      <xdr:row>13</xdr:row>
      <xdr:rowOff>155863</xdr:rowOff>
    </xdr:to>
    <xdr:sp macro="" textlink="">
      <xdr:nvSpPr>
        <xdr:cNvPr id="6" name="フローチャート: 結合子 5">
          <a:extLst>
            <a:ext uri="{FF2B5EF4-FFF2-40B4-BE49-F238E27FC236}">
              <a16:creationId xmlns:a16="http://schemas.microsoft.com/office/drawing/2014/main" id="{25FAF860-6785-4846-B242-D71EE325306E}"/>
            </a:ext>
          </a:extLst>
        </xdr:cNvPr>
        <xdr:cNvSpPr/>
      </xdr:nvSpPr>
      <xdr:spPr>
        <a:xfrm>
          <a:off x="7135091" y="2260022"/>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14</xdr:row>
      <xdr:rowOff>39398</xdr:rowOff>
    </xdr:from>
    <xdr:to>
      <xdr:col>41</xdr:col>
      <xdr:colOff>77932</xdr:colOff>
      <xdr:row>15</xdr:row>
      <xdr:rowOff>56716</xdr:rowOff>
    </xdr:to>
    <xdr:sp macro="" textlink="">
      <xdr:nvSpPr>
        <xdr:cNvPr id="7" name="フローチャート: 結合子 6">
          <a:extLst>
            <a:ext uri="{FF2B5EF4-FFF2-40B4-BE49-F238E27FC236}">
              <a16:creationId xmlns:a16="http://schemas.microsoft.com/office/drawing/2014/main" id="{9C70374A-A6CF-40B3-B3BB-DDCB5CA376AD}"/>
            </a:ext>
          </a:extLst>
        </xdr:cNvPr>
        <xdr:cNvSpPr/>
      </xdr:nvSpPr>
      <xdr:spPr>
        <a:xfrm>
          <a:off x="7139853" y="2541875"/>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15</xdr:row>
      <xdr:rowOff>125989</xdr:rowOff>
    </xdr:from>
    <xdr:to>
      <xdr:col>41</xdr:col>
      <xdr:colOff>77932</xdr:colOff>
      <xdr:row>16</xdr:row>
      <xdr:rowOff>143307</xdr:rowOff>
    </xdr:to>
    <xdr:sp macro="" textlink="">
      <xdr:nvSpPr>
        <xdr:cNvPr id="8" name="フローチャート: 結合子 7">
          <a:extLst>
            <a:ext uri="{FF2B5EF4-FFF2-40B4-BE49-F238E27FC236}">
              <a16:creationId xmlns:a16="http://schemas.microsoft.com/office/drawing/2014/main" id="{D85B6905-CF04-4904-B5C7-4E4B7280DA08}"/>
            </a:ext>
          </a:extLst>
        </xdr:cNvPr>
        <xdr:cNvSpPr/>
      </xdr:nvSpPr>
      <xdr:spPr>
        <a:xfrm>
          <a:off x="7139853" y="2818966"/>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17</xdr:row>
      <xdr:rowOff>13421</xdr:rowOff>
    </xdr:from>
    <xdr:to>
      <xdr:col>41</xdr:col>
      <xdr:colOff>77932</xdr:colOff>
      <xdr:row>18</xdr:row>
      <xdr:rowOff>30739</xdr:rowOff>
    </xdr:to>
    <xdr:sp macro="" textlink="">
      <xdr:nvSpPr>
        <xdr:cNvPr id="9" name="フローチャート: 結合子 8">
          <a:extLst>
            <a:ext uri="{FF2B5EF4-FFF2-40B4-BE49-F238E27FC236}">
              <a16:creationId xmlns:a16="http://schemas.microsoft.com/office/drawing/2014/main" id="{975B7E6E-C577-477F-9DA7-0DEF73B30A1E}"/>
            </a:ext>
          </a:extLst>
        </xdr:cNvPr>
        <xdr:cNvSpPr/>
      </xdr:nvSpPr>
      <xdr:spPr>
        <a:xfrm>
          <a:off x="7139853" y="3087398"/>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18</xdr:row>
      <xdr:rowOff>100012</xdr:rowOff>
    </xdr:from>
    <xdr:to>
      <xdr:col>41</xdr:col>
      <xdr:colOff>77932</xdr:colOff>
      <xdr:row>19</xdr:row>
      <xdr:rowOff>117330</xdr:rowOff>
    </xdr:to>
    <xdr:sp macro="" textlink="">
      <xdr:nvSpPr>
        <xdr:cNvPr id="10" name="フローチャート: 結合子 9">
          <a:extLst>
            <a:ext uri="{FF2B5EF4-FFF2-40B4-BE49-F238E27FC236}">
              <a16:creationId xmlns:a16="http://schemas.microsoft.com/office/drawing/2014/main" id="{3DB3786E-1950-4F4B-8C7D-E9A9E7070821}"/>
            </a:ext>
          </a:extLst>
        </xdr:cNvPr>
        <xdr:cNvSpPr/>
      </xdr:nvSpPr>
      <xdr:spPr>
        <a:xfrm>
          <a:off x="7139853" y="3364489"/>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20</xdr:row>
      <xdr:rowOff>865</xdr:rowOff>
    </xdr:from>
    <xdr:to>
      <xdr:col>41</xdr:col>
      <xdr:colOff>77932</xdr:colOff>
      <xdr:row>21</xdr:row>
      <xdr:rowOff>13421</xdr:rowOff>
    </xdr:to>
    <xdr:sp macro="" textlink="">
      <xdr:nvSpPr>
        <xdr:cNvPr id="11" name="フローチャート: 結合子 10">
          <a:extLst>
            <a:ext uri="{FF2B5EF4-FFF2-40B4-BE49-F238E27FC236}">
              <a16:creationId xmlns:a16="http://schemas.microsoft.com/office/drawing/2014/main" id="{C13DF94C-8396-49EB-8D7D-299259EAF615}"/>
            </a:ext>
          </a:extLst>
        </xdr:cNvPr>
        <xdr:cNvSpPr/>
      </xdr:nvSpPr>
      <xdr:spPr>
        <a:xfrm>
          <a:off x="7139853" y="3646342"/>
          <a:ext cx="203056"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21</xdr:row>
      <xdr:rowOff>87456</xdr:rowOff>
    </xdr:from>
    <xdr:to>
      <xdr:col>41</xdr:col>
      <xdr:colOff>77932</xdr:colOff>
      <xdr:row>22</xdr:row>
      <xdr:rowOff>104774</xdr:rowOff>
    </xdr:to>
    <xdr:sp macro="" textlink="">
      <xdr:nvSpPr>
        <xdr:cNvPr id="12" name="フローチャート: 結合子 11">
          <a:extLst>
            <a:ext uri="{FF2B5EF4-FFF2-40B4-BE49-F238E27FC236}">
              <a16:creationId xmlns:a16="http://schemas.microsoft.com/office/drawing/2014/main" id="{CB44DDD8-B2E2-46A1-B95C-CAE510404BC5}"/>
            </a:ext>
          </a:extLst>
        </xdr:cNvPr>
        <xdr:cNvSpPr/>
      </xdr:nvSpPr>
      <xdr:spPr>
        <a:xfrm>
          <a:off x="7139853" y="3923433"/>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22</xdr:row>
      <xdr:rowOff>156729</xdr:rowOff>
    </xdr:from>
    <xdr:to>
      <xdr:col>41</xdr:col>
      <xdr:colOff>77932</xdr:colOff>
      <xdr:row>24</xdr:row>
      <xdr:rowOff>91353</xdr:rowOff>
    </xdr:to>
    <xdr:sp macro="" textlink="">
      <xdr:nvSpPr>
        <xdr:cNvPr id="13" name="フローチャート: 結合子 12">
          <a:extLst>
            <a:ext uri="{FF2B5EF4-FFF2-40B4-BE49-F238E27FC236}">
              <a16:creationId xmlns:a16="http://schemas.microsoft.com/office/drawing/2014/main" id="{3530E93C-2456-4048-9803-D420B247E4E4}"/>
            </a:ext>
          </a:extLst>
        </xdr:cNvPr>
        <xdr:cNvSpPr/>
      </xdr:nvSpPr>
      <xdr:spPr>
        <a:xfrm>
          <a:off x="7139853" y="4183206"/>
          <a:ext cx="203056"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24</xdr:row>
      <xdr:rowOff>165388</xdr:rowOff>
    </xdr:from>
    <xdr:to>
      <xdr:col>41</xdr:col>
      <xdr:colOff>77932</xdr:colOff>
      <xdr:row>25</xdr:row>
      <xdr:rowOff>182706</xdr:rowOff>
    </xdr:to>
    <xdr:sp macro="" textlink="">
      <xdr:nvSpPr>
        <xdr:cNvPr id="14" name="フローチャート: 結合子 13">
          <a:extLst>
            <a:ext uri="{FF2B5EF4-FFF2-40B4-BE49-F238E27FC236}">
              <a16:creationId xmlns:a16="http://schemas.microsoft.com/office/drawing/2014/main" id="{0AB01EE0-45B9-4624-8739-96F1FE54EDA0}"/>
            </a:ext>
          </a:extLst>
        </xdr:cNvPr>
        <xdr:cNvSpPr/>
      </xdr:nvSpPr>
      <xdr:spPr>
        <a:xfrm>
          <a:off x="7139853" y="4460297"/>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26</xdr:row>
      <xdr:rowOff>61479</xdr:rowOff>
    </xdr:from>
    <xdr:to>
      <xdr:col>41</xdr:col>
      <xdr:colOff>77932</xdr:colOff>
      <xdr:row>27</xdr:row>
      <xdr:rowOff>78797</xdr:rowOff>
    </xdr:to>
    <xdr:sp macro="" textlink="">
      <xdr:nvSpPr>
        <xdr:cNvPr id="15" name="フローチャート: 結合子 14">
          <a:extLst>
            <a:ext uri="{FF2B5EF4-FFF2-40B4-BE49-F238E27FC236}">
              <a16:creationId xmlns:a16="http://schemas.microsoft.com/office/drawing/2014/main" id="{5F66CDB0-D786-4F35-89C3-64FB9441CC16}"/>
            </a:ext>
          </a:extLst>
        </xdr:cNvPr>
        <xdr:cNvSpPr/>
      </xdr:nvSpPr>
      <xdr:spPr>
        <a:xfrm>
          <a:off x="7139853" y="4737388"/>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65376</xdr:colOff>
      <xdr:row>27</xdr:row>
      <xdr:rowOff>148070</xdr:rowOff>
    </xdr:from>
    <xdr:to>
      <xdr:col>41</xdr:col>
      <xdr:colOff>77932</xdr:colOff>
      <xdr:row>28</xdr:row>
      <xdr:rowOff>165388</xdr:rowOff>
    </xdr:to>
    <xdr:sp macro="" textlink="">
      <xdr:nvSpPr>
        <xdr:cNvPr id="16" name="フローチャート: 結合子 15">
          <a:extLst>
            <a:ext uri="{FF2B5EF4-FFF2-40B4-BE49-F238E27FC236}">
              <a16:creationId xmlns:a16="http://schemas.microsoft.com/office/drawing/2014/main" id="{6E418C34-E8FA-4C54-8601-86E2D060AEA7}"/>
            </a:ext>
          </a:extLst>
        </xdr:cNvPr>
        <xdr:cNvSpPr/>
      </xdr:nvSpPr>
      <xdr:spPr>
        <a:xfrm>
          <a:off x="7139853" y="5014479"/>
          <a:ext cx="203056"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25977</xdr:colOff>
      <xdr:row>8</xdr:row>
      <xdr:rowOff>51954</xdr:rowOff>
    </xdr:from>
    <xdr:to>
      <xdr:col>43</xdr:col>
      <xdr:colOff>43295</xdr:colOff>
      <xdr:row>9</xdr:row>
      <xdr:rowOff>69272</xdr:rowOff>
    </xdr:to>
    <xdr:sp macro="" textlink="">
      <xdr:nvSpPr>
        <xdr:cNvPr id="17" name="フローチャート: 結合子 16">
          <a:extLst>
            <a:ext uri="{FF2B5EF4-FFF2-40B4-BE49-F238E27FC236}">
              <a16:creationId xmlns:a16="http://schemas.microsoft.com/office/drawing/2014/main" id="{07924EA0-A3A5-49E0-9F8E-0D8A68084E72}"/>
            </a:ext>
          </a:extLst>
        </xdr:cNvPr>
        <xdr:cNvSpPr/>
      </xdr:nvSpPr>
      <xdr:spPr>
        <a:xfrm>
          <a:off x="7481454" y="1411431"/>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25977</xdr:colOff>
      <xdr:row>9</xdr:row>
      <xdr:rowOff>138545</xdr:rowOff>
    </xdr:from>
    <xdr:to>
      <xdr:col>43</xdr:col>
      <xdr:colOff>43295</xdr:colOff>
      <xdr:row>10</xdr:row>
      <xdr:rowOff>155863</xdr:rowOff>
    </xdr:to>
    <xdr:sp macro="" textlink="">
      <xdr:nvSpPr>
        <xdr:cNvPr id="18" name="フローチャート: 結合子 17">
          <a:extLst>
            <a:ext uri="{FF2B5EF4-FFF2-40B4-BE49-F238E27FC236}">
              <a16:creationId xmlns:a16="http://schemas.microsoft.com/office/drawing/2014/main" id="{3FB55992-B111-4200-9499-F901B1A2A7B3}"/>
            </a:ext>
          </a:extLst>
        </xdr:cNvPr>
        <xdr:cNvSpPr/>
      </xdr:nvSpPr>
      <xdr:spPr>
        <a:xfrm>
          <a:off x="7481454" y="1688522"/>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11</xdr:row>
      <xdr:rowOff>56716</xdr:rowOff>
    </xdr:from>
    <xdr:to>
      <xdr:col>43</xdr:col>
      <xdr:colOff>65791</xdr:colOff>
      <xdr:row>12</xdr:row>
      <xdr:rowOff>74034</xdr:rowOff>
    </xdr:to>
    <xdr:sp macro="" textlink="">
      <xdr:nvSpPr>
        <xdr:cNvPr id="19" name="フローチャート: 結合子 18">
          <a:extLst>
            <a:ext uri="{FF2B5EF4-FFF2-40B4-BE49-F238E27FC236}">
              <a16:creationId xmlns:a16="http://schemas.microsoft.com/office/drawing/2014/main" id="{E0A374EB-84F1-4638-982B-32C5D77ACE29}"/>
            </a:ext>
          </a:extLst>
        </xdr:cNvPr>
        <xdr:cNvSpPr/>
      </xdr:nvSpPr>
      <xdr:spPr>
        <a:xfrm rot="1800000">
          <a:off x="7513474" y="1987693"/>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12</xdr:row>
      <xdr:rowOff>143307</xdr:rowOff>
    </xdr:from>
    <xdr:to>
      <xdr:col>43</xdr:col>
      <xdr:colOff>65791</xdr:colOff>
      <xdr:row>13</xdr:row>
      <xdr:rowOff>160625</xdr:rowOff>
    </xdr:to>
    <xdr:sp macro="" textlink="">
      <xdr:nvSpPr>
        <xdr:cNvPr id="20" name="フローチャート: 結合子 19">
          <a:extLst>
            <a:ext uri="{FF2B5EF4-FFF2-40B4-BE49-F238E27FC236}">
              <a16:creationId xmlns:a16="http://schemas.microsoft.com/office/drawing/2014/main" id="{E547957B-F97B-4FDB-9CE2-ACFE869EA892}"/>
            </a:ext>
          </a:extLst>
        </xdr:cNvPr>
        <xdr:cNvSpPr/>
      </xdr:nvSpPr>
      <xdr:spPr>
        <a:xfrm rot="1800000">
          <a:off x="7513474" y="2264784"/>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14</xdr:row>
      <xdr:rowOff>39398</xdr:rowOff>
    </xdr:from>
    <xdr:to>
      <xdr:col>43</xdr:col>
      <xdr:colOff>65791</xdr:colOff>
      <xdr:row>15</xdr:row>
      <xdr:rowOff>56716</xdr:rowOff>
    </xdr:to>
    <xdr:sp macro="" textlink="">
      <xdr:nvSpPr>
        <xdr:cNvPr id="21" name="フローチャート: 結合子 20">
          <a:extLst>
            <a:ext uri="{FF2B5EF4-FFF2-40B4-BE49-F238E27FC236}">
              <a16:creationId xmlns:a16="http://schemas.microsoft.com/office/drawing/2014/main" id="{E93B7728-5BAC-41DF-B6A4-23B83BC5549F}"/>
            </a:ext>
          </a:extLst>
        </xdr:cNvPr>
        <xdr:cNvSpPr/>
      </xdr:nvSpPr>
      <xdr:spPr>
        <a:xfrm rot="1800000">
          <a:off x="7513474" y="2541875"/>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15</xdr:row>
      <xdr:rowOff>125989</xdr:rowOff>
    </xdr:from>
    <xdr:to>
      <xdr:col>43</xdr:col>
      <xdr:colOff>65791</xdr:colOff>
      <xdr:row>16</xdr:row>
      <xdr:rowOff>143307</xdr:rowOff>
    </xdr:to>
    <xdr:sp macro="" textlink="">
      <xdr:nvSpPr>
        <xdr:cNvPr id="22" name="フローチャート: 結合子 21">
          <a:extLst>
            <a:ext uri="{FF2B5EF4-FFF2-40B4-BE49-F238E27FC236}">
              <a16:creationId xmlns:a16="http://schemas.microsoft.com/office/drawing/2014/main" id="{EE184CDF-0C47-4E1E-8C7A-0F2D40C18901}"/>
            </a:ext>
          </a:extLst>
        </xdr:cNvPr>
        <xdr:cNvSpPr/>
      </xdr:nvSpPr>
      <xdr:spPr>
        <a:xfrm rot="1800000">
          <a:off x="7513474" y="2818966"/>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17</xdr:row>
      <xdr:rowOff>18183</xdr:rowOff>
    </xdr:from>
    <xdr:to>
      <xdr:col>43</xdr:col>
      <xdr:colOff>65791</xdr:colOff>
      <xdr:row>18</xdr:row>
      <xdr:rowOff>30739</xdr:rowOff>
    </xdr:to>
    <xdr:sp macro="" textlink="">
      <xdr:nvSpPr>
        <xdr:cNvPr id="23" name="フローチャート: 結合子 22">
          <a:extLst>
            <a:ext uri="{FF2B5EF4-FFF2-40B4-BE49-F238E27FC236}">
              <a16:creationId xmlns:a16="http://schemas.microsoft.com/office/drawing/2014/main" id="{BA6C8E7D-C037-452F-A490-3C031BA5C053}"/>
            </a:ext>
          </a:extLst>
        </xdr:cNvPr>
        <xdr:cNvSpPr/>
      </xdr:nvSpPr>
      <xdr:spPr>
        <a:xfrm rot="1800000">
          <a:off x="7513474" y="3092160"/>
          <a:ext cx="198294"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18</xdr:row>
      <xdr:rowOff>104774</xdr:rowOff>
    </xdr:from>
    <xdr:to>
      <xdr:col>43</xdr:col>
      <xdr:colOff>65791</xdr:colOff>
      <xdr:row>19</xdr:row>
      <xdr:rowOff>122092</xdr:rowOff>
    </xdr:to>
    <xdr:sp macro="" textlink="">
      <xdr:nvSpPr>
        <xdr:cNvPr id="24" name="フローチャート: 結合子 23">
          <a:extLst>
            <a:ext uri="{FF2B5EF4-FFF2-40B4-BE49-F238E27FC236}">
              <a16:creationId xmlns:a16="http://schemas.microsoft.com/office/drawing/2014/main" id="{D82162FE-DE90-43E2-A73F-434B37FA9A21}"/>
            </a:ext>
          </a:extLst>
        </xdr:cNvPr>
        <xdr:cNvSpPr/>
      </xdr:nvSpPr>
      <xdr:spPr>
        <a:xfrm rot="1800000">
          <a:off x="7513474" y="3369251"/>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20</xdr:row>
      <xdr:rowOff>865</xdr:rowOff>
    </xdr:from>
    <xdr:to>
      <xdr:col>43</xdr:col>
      <xdr:colOff>65791</xdr:colOff>
      <xdr:row>21</xdr:row>
      <xdr:rowOff>18183</xdr:rowOff>
    </xdr:to>
    <xdr:sp macro="" textlink="">
      <xdr:nvSpPr>
        <xdr:cNvPr id="25" name="フローチャート: 結合子 24">
          <a:extLst>
            <a:ext uri="{FF2B5EF4-FFF2-40B4-BE49-F238E27FC236}">
              <a16:creationId xmlns:a16="http://schemas.microsoft.com/office/drawing/2014/main" id="{6D8F3FB0-20BC-4F34-BADE-234193FD14D6}"/>
            </a:ext>
          </a:extLst>
        </xdr:cNvPr>
        <xdr:cNvSpPr/>
      </xdr:nvSpPr>
      <xdr:spPr>
        <a:xfrm rot="1800000">
          <a:off x="7513474" y="3646342"/>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21</xdr:row>
      <xdr:rowOff>87456</xdr:rowOff>
    </xdr:from>
    <xdr:to>
      <xdr:col>43</xdr:col>
      <xdr:colOff>65791</xdr:colOff>
      <xdr:row>22</xdr:row>
      <xdr:rowOff>104774</xdr:rowOff>
    </xdr:to>
    <xdr:sp macro="" textlink="">
      <xdr:nvSpPr>
        <xdr:cNvPr id="26" name="フローチャート: 結合子 25">
          <a:extLst>
            <a:ext uri="{FF2B5EF4-FFF2-40B4-BE49-F238E27FC236}">
              <a16:creationId xmlns:a16="http://schemas.microsoft.com/office/drawing/2014/main" id="{29EBEF4B-79AD-40B1-8B40-D9E0B5A8BC10}"/>
            </a:ext>
          </a:extLst>
        </xdr:cNvPr>
        <xdr:cNvSpPr/>
      </xdr:nvSpPr>
      <xdr:spPr>
        <a:xfrm rot="1800000">
          <a:off x="7513474" y="3923433"/>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22</xdr:row>
      <xdr:rowOff>161491</xdr:rowOff>
    </xdr:from>
    <xdr:to>
      <xdr:col>43</xdr:col>
      <xdr:colOff>65791</xdr:colOff>
      <xdr:row>24</xdr:row>
      <xdr:rowOff>96115</xdr:rowOff>
    </xdr:to>
    <xdr:sp macro="" textlink="">
      <xdr:nvSpPr>
        <xdr:cNvPr id="27" name="フローチャート: 結合子 26">
          <a:extLst>
            <a:ext uri="{FF2B5EF4-FFF2-40B4-BE49-F238E27FC236}">
              <a16:creationId xmlns:a16="http://schemas.microsoft.com/office/drawing/2014/main" id="{2A9E1C15-20AE-4C3C-8692-BC73C28989AE}"/>
            </a:ext>
          </a:extLst>
        </xdr:cNvPr>
        <xdr:cNvSpPr/>
      </xdr:nvSpPr>
      <xdr:spPr>
        <a:xfrm rot="1800000">
          <a:off x="7513474" y="4187968"/>
          <a:ext cx="198294"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24</xdr:row>
      <xdr:rowOff>170150</xdr:rowOff>
    </xdr:from>
    <xdr:to>
      <xdr:col>43</xdr:col>
      <xdr:colOff>65791</xdr:colOff>
      <xdr:row>25</xdr:row>
      <xdr:rowOff>182706</xdr:rowOff>
    </xdr:to>
    <xdr:sp macro="" textlink="">
      <xdr:nvSpPr>
        <xdr:cNvPr id="28" name="フローチャート: 結合子 27">
          <a:extLst>
            <a:ext uri="{FF2B5EF4-FFF2-40B4-BE49-F238E27FC236}">
              <a16:creationId xmlns:a16="http://schemas.microsoft.com/office/drawing/2014/main" id="{0B4718C2-31B4-4D52-9C17-1E74523B4951}"/>
            </a:ext>
          </a:extLst>
        </xdr:cNvPr>
        <xdr:cNvSpPr/>
      </xdr:nvSpPr>
      <xdr:spPr>
        <a:xfrm rot="1800000">
          <a:off x="7513474" y="4465059"/>
          <a:ext cx="198294"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57997</xdr:colOff>
      <xdr:row>26</xdr:row>
      <xdr:rowOff>66241</xdr:rowOff>
    </xdr:from>
    <xdr:to>
      <xdr:col>43</xdr:col>
      <xdr:colOff>65791</xdr:colOff>
      <xdr:row>27</xdr:row>
      <xdr:rowOff>83559</xdr:rowOff>
    </xdr:to>
    <xdr:sp macro="" textlink="">
      <xdr:nvSpPr>
        <xdr:cNvPr id="29" name="フローチャート: 結合子 28">
          <a:extLst>
            <a:ext uri="{FF2B5EF4-FFF2-40B4-BE49-F238E27FC236}">
              <a16:creationId xmlns:a16="http://schemas.microsoft.com/office/drawing/2014/main" id="{D7965587-E570-4B48-87D3-23C52F9B8A91}"/>
            </a:ext>
          </a:extLst>
        </xdr:cNvPr>
        <xdr:cNvSpPr/>
      </xdr:nvSpPr>
      <xdr:spPr>
        <a:xfrm rot="1800000">
          <a:off x="7513474" y="4742150"/>
          <a:ext cx="198294"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132042</xdr:colOff>
      <xdr:row>8</xdr:row>
      <xdr:rowOff>56716</xdr:rowOff>
    </xdr:from>
    <xdr:to>
      <xdr:col>44</xdr:col>
      <xdr:colOff>149360</xdr:colOff>
      <xdr:row>9</xdr:row>
      <xdr:rowOff>74034</xdr:rowOff>
    </xdr:to>
    <xdr:sp macro="" textlink="">
      <xdr:nvSpPr>
        <xdr:cNvPr id="30" name="フローチャート: 結合子 29">
          <a:extLst>
            <a:ext uri="{FF2B5EF4-FFF2-40B4-BE49-F238E27FC236}">
              <a16:creationId xmlns:a16="http://schemas.microsoft.com/office/drawing/2014/main" id="{4384C944-0023-4DD2-8D8E-4D9E4CFA4025}"/>
            </a:ext>
          </a:extLst>
        </xdr:cNvPr>
        <xdr:cNvSpPr/>
      </xdr:nvSpPr>
      <xdr:spPr>
        <a:xfrm>
          <a:off x="7778019" y="1416193"/>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132042</xdr:colOff>
      <xdr:row>9</xdr:row>
      <xdr:rowOff>143307</xdr:rowOff>
    </xdr:from>
    <xdr:to>
      <xdr:col>44</xdr:col>
      <xdr:colOff>149360</xdr:colOff>
      <xdr:row>10</xdr:row>
      <xdr:rowOff>160625</xdr:rowOff>
    </xdr:to>
    <xdr:sp macro="" textlink="">
      <xdr:nvSpPr>
        <xdr:cNvPr id="31" name="フローチャート: 結合子 30">
          <a:extLst>
            <a:ext uri="{FF2B5EF4-FFF2-40B4-BE49-F238E27FC236}">
              <a16:creationId xmlns:a16="http://schemas.microsoft.com/office/drawing/2014/main" id="{BDB0921F-E3A7-454D-B276-043ADF547681}"/>
            </a:ext>
          </a:extLst>
        </xdr:cNvPr>
        <xdr:cNvSpPr/>
      </xdr:nvSpPr>
      <xdr:spPr>
        <a:xfrm>
          <a:off x="7778019" y="1693284"/>
          <a:ext cx="207818"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11</xdr:row>
      <xdr:rowOff>56716</xdr:rowOff>
    </xdr:from>
    <xdr:to>
      <xdr:col>44</xdr:col>
      <xdr:colOff>181380</xdr:colOff>
      <xdr:row>12</xdr:row>
      <xdr:rowOff>74034</xdr:rowOff>
    </xdr:to>
    <xdr:sp macro="" textlink="">
      <xdr:nvSpPr>
        <xdr:cNvPr id="32" name="フローチャート: 結合子 31">
          <a:extLst>
            <a:ext uri="{FF2B5EF4-FFF2-40B4-BE49-F238E27FC236}">
              <a16:creationId xmlns:a16="http://schemas.microsoft.com/office/drawing/2014/main" id="{A9670216-B3C9-4FEE-B303-3AC9849EC53B}"/>
            </a:ext>
          </a:extLst>
        </xdr:cNvPr>
        <xdr:cNvSpPr/>
      </xdr:nvSpPr>
      <xdr:spPr>
        <a:xfrm rot="1800000">
          <a:off x="7805277" y="1987693"/>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12</xdr:row>
      <xdr:rowOff>143307</xdr:rowOff>
    </xdr:from>
    <xdr:to>
      <xdr:col>44</xdr:col>
      <xdr:colOff>181380</xdr:colOff>
      <xdr:row>13</xdr:row>
      <xdr:rowOff>160625</xdr:rowOff>
    </xdr:to>
    <xdr:sp macro="" textlink="">
      <xdr:nvSpPr>
        <xdr:cNvPr id="33" name="フローチャート: 結合子 32">
          <a:extLst>
            <a:ext uri="{FF2B5EF4-FFF2-40B4-BE49-F238E27FC236}">
              <a16:creationId xmlns:a16="http://schemas.microsoft.com/office/drawing/2014/main" id="{A2D4CBBB-89E3-4EB1-AB2E-A855DA602688}"/>
            </a:ext>
          </a:extLst>
        </xdr:cNvPr>
        <xdr:cNvSpPr/>
      </xdr:nvSpPr>
      <xdr:spPr>
        <a:xfrm rot="1800000">
          <a:off x="7805277" y="2264784"/>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14</xdr:row>
      <xdr:rowOff>39398</xdr:rowOff>
    </xdr:from>
    <xdr:to>
      <xdr:col>44</xdr:col>
      <xdr:colOff>181380</xdr:colOff>
      <xdr:row>15</xdr:row>
      <xdr:rowOff>56716</xdr:rowOff>
    </xdr:to>
    <xdr:sp macro="" textlink="">
      <xdr:nvSpPr>
        <xdr:cNvPr id="34" name="フローチャート: 結合子 33">
          <a:extLst>
            <a:ext uri="{FF2B5EF4-FFF2-40B4-BE49-F238E27FC236}">
              <a16:creationId xmlns:a16="http://schemas.microsoft.com/office/drawing/2014/main" id="{B43D878E-2F95-46AF-8CD9-37DE1CFEEF94}"/>
            </a:ext>
          </a:extLst>
        </xdr:cNvPr>
        <xdr:cNvSpPr/>
      </xdr:nvSpPr>
      <xdr:spPr>
        <a:xfrm rot="1800000">
          <a:off x="7805277" y="2541875"/>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15</xdr:row>
      <xdr:rowOff>125989</xdr:rowOff>
    </xdr:from>
    <xdr:to>
      <xdr:col>44</xdr:col>
      <xdr:colOff>181380</xdr:colOff>
      <xdr:row>16</xdr:row>
      <xdr:rowOff>143307</xdr:rowOff>
    </xdr:to>
    <xdr:sp macro="" textlink="">
      <xdr:nvSpPr>
        <xdr:cNvPr id="35" name="フローチャート: 結合子 34">
          <a:extLst>
            <a:ext uri="{FF2B5EF4-FFF2-40B4-BE49-F238E27FC236}">
              <a16:creationId xmlns:a16="http://schemas.microsoft.com/office/drawing/2014/main" id="{D3CA14E9-0090-4919-843D-0278286151E4}"/>
            </a:ext>
          </a:extLst>
        </xdr:cNvPr>
        <xdr:cNvSpPr/>
      </xdr:nvSpPr>
      <xdr:spPr>
        <a:xfrm rot="1800000">
          <a:off x="7805277" y="2818966"/>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17</xdr:row>
      <xdr:rowOff>18183</xdr:rowOff>
    </xdr:from>
    <xdr:to>
      <xdr:col>44</xdr:col>
      <xdr:colOff>181380</xdr:colOff>
      <xdr:row>18</xdr:row>
      <xdr:rowOff>30739</xdr:rowOff>
    </xdr:to>
    <xdr:sp macro="" textlink="">
      <xdr:nvSpPr>
        <xdr:cNvPr id="36" name="フローチャート: 結合子 35">
          <a:extLst>
            <a:ext uri="{FF2B5EF4-FFF2-40B4-BE49-F238E27FC236}">
              <a16:creationId xmlns:a16="http://schemas.microsoft.com/office/drawing/2014/main" id="{D58EB415-9E4F-4813-ACC9-C121D8E77261}"/>
            </a:ext>
          </a:extLst>
        </xdr:cNvPr>
        <xdr:cNvSpPr/>
      </xdr:nvSpPr>
      <xdr:spPr>
        <a:xfrm rot="1800000">
          <a:off x="7805277" y="3092160"/>
          <a:ext cx="212580"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18</xdr:row>
      <xdr:rowOff>104774</xdr:rowOff>
    </xdr:from>
    <xdr:to>
      <xdr:col>44</xdr:col>
      <xdr:colOff>181380</xdr:colOff>
      <xdr:row>19</xdr:row>
      <xdr:rowOff>122092</xdr:rowOff>
    </xdr:to>
    <xdr:sp macro="" textlink="">
      <xdr:nvSpPr>
        <xdr:cNvPr id="37" name="フローチャート: 結合子 36">
          <a:extLst>
            <a:ext uri="{FF2B5EF4-FFF2-40B4-BE49-F238E27FC236}">
              <a16:creationId xmlns:a16="http://schemas.microsoft.com/office/drawing/2014/main" id="{B1DE5213-CA41-4CC5-A1CD-4D86D602DB1C}"/>
            </a:ext>
          </a:extLst>
        </xdr:cNvPr>
        <xdr:cNvSpPr/>
      </xdr:nvSpPr>
      <xdr:spPr>
        <a:xfrm rot="1800000">
          <a:off x="7805277" y="3369251"/>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20</xdr:row>
      <xdr:rowOff>865</xdr:rowOff>
    </xdr:from>
    <xdr:to>
      <xdr:col>44</xdr:col>
      <xdr:colOff>181380</xdr:colOff>
      <xdr:row>21</xdr:row>
      <xdr:rowOff>18183</xdr:rowOff>
    </xdr:to>
    <xdr:sp macro="" textlink="">
      <xdr:nvSpPr>
        <xdr:cNvPr id="38" name="フローチャート: 結合子 37">
          <a:extLst>
            <a:ext uri="{FF2B5EF4-FFF2-40B4-BE49-F238E27FC236}">
              <a16:creationId xmlns:a16="http://schemas.microsoft.com/office/drawing/2014/main" id="{43D2595B-D964-4ABF-B7D0-7DEC385E942E}"/>
            </a:ext>
          </a:extLst>
        </xdr:cNvPr>
        <xdr:cNvSpPr/>
      </xdr:nvSpPr>
      <xdr:spPr>
        <a:xfrm rot="1800000">
          <a:off x="7805277" y="3646342"/>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21</xdr:row>
      <xdr:rowOff>87456</xdr:rowOff>
    </xdr:from>
    <xdr:to>
      <xdr:col>44</xdr:col>
      <xdr:colOff>181380</xdr:colOff>
      <xdr:row>22</xdr:row>
      <xdr:rowOff>104774</xdr:rowOff>
    </xdr:to>
    <xdr:sp macro="" textlink="">
      <xdr:nvSpPr>
        <xdr:cNvPr id="39" name="フローチャート: 結合子 38">
          <a:extLst>
            <a:ext uri="{FF2B5EF4-FFF2-40B4-BE49-F238E27FC236}">
              <a16:creationId xmlns:a16="http://schemas.microsoft.com/office/drawing/2014/main" id="{DB0C2374-AE3B-4FB3-8DAA-80B498ECE68B}"/>
            </a:ext>
          </a:extLst>
        </xdr:cNvPr>
        <xdr:cNvSpPr/>
      </xdr:nvSpPr>
      <xdr:spPr>
        <a:xfrm rot="1800000">
          <a:off x="7805277" y="3923433"/>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22</xdr:row>
      <xdr:rowOff>161491</xdr:rowOff>
    </xdr:from>
    <xdr:to>
      <xdr:col>44</xdr:col>
      <xdr:colOff>181380</xdr:colOff>
      <xdr:row>24</xdr:row>
      <xdr:rowOff>96115</xdr:rowOff>
    </xdr:to>
    <xdr:sp macro="" textlink="">
      <xdr:nvSpPr>
        <xdr:cNvPr id="40" name="フローチャート: 結合子 39">
          <a:extLst>
            <a:ext uri="{FF2B5EF4-FFF2-40B4-BE49-F238E27FC236}">
              <a16:creationId xmlns:a16="http://schemas.microsoft.com/office/drawing/2014/main" id="{5C2BFCA5-B0F6-49E9-BF4D-93E96516A80D}"/>
            </a:ext>
          </a:extLst>
        </xdr:cNvPr>
        <xdr:cNvSpPr/>
      </xdr:nvSpPr>
      <xdr:spPr>
        <a:xfrm rot="1800000">
          <a:off x="7805277" y="4187968"/>
          <a:ext cx="212580"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24</xdr:row>
      <xdr:rowOff>170150</xdr:rowOff>
    </xdr:from>
    <xdr:to>
      <xdr:col>44</xdr:col>
      <xdr:colOff>181380</xdr:colOff>
      <xdr:row>25</xdr:row>
      <xdr:rowOff>182706</xdr:rowOff>
    </xdr:to>
    <xdr:sp macro="" textlink="">
      <xdr:nvSpPr>
        <xdr:cNvPr id="41" name="フローチャート: 結合子 40">
          <a:extLst>
            <a:ext uri="{FF2B5EF4-FFF2-40B4-BE49-F238E27FC236}">
              <a16:creationId xmlns:a16="http://schemas.microsoft.com/office/drawing/2014/main" id="{4CF5F1B0-ADA8-4E23-9013-71A0F90E49CE}"/>
            </a:ext>
          </a:extLst>
        </xdr:cNvPr>
        <xdr:cNvSpPr/>
      </xdr:nvSpPr>
      <xdr:spPr>
        <a:xfrm rot="1800000">
          <a:off x="7805277" y="4465059"/>
          <a:ext cx="212580" cy="203056"/>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159300</xdr:colOff>
      <xdr:row>26</xdr:row>
      <xdr:rowOff>66241</xdr:rowOff>
    </xdr:from>
    <xdr:to>
      <xdr:col>44</xdr:col>
      <xdr:colOff>181380</xdr:colOff>
      <xdr:row>27</xdr:row>
      <xdr:rowOff>83559</xdr:rowOff>
    </xdr:to>
    <xdr:sp macro="" textlink="">
      <xdr:nvSpPr>
        <xdr:cNvPr id="42" name="フローチャート: 結合子 41">
          <a:extLst>
            <a:ext uri="{FF2B5EF4-FFF2-40B4-BE49-F238E27FC236}">
              <a16:creationId xmlns:a16="http://schemas.microsoft.com/office/drawing/2014/main" id="{08092449-FC77-4486-98AD-2F28958C2773}"/>
            </a:ext>
          </a:extLst>
        </xdr:cNvPr>
        <xdr:cNvSpPr/>
      </xdr:nvSpPr>
      <xdr:spPr>
        <a:xfrm rot="1800000">
          <a:off x="7805277" y="4742150"/>
          <a:ext cx="212580" cy="207818"/>
        </a:xfrm>
        <a:prstGeom prst="flowChartConnector">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0030&#20250;&#35336;&#26908;&#26619;&#35506;\&#20196;&#21644;04&#24180;&#24230;\&#29289;&#21697;&#22865;&#32004;&#20418;\C&#12288;&#20837;&#26413;&#21442;&#21152;&#36039;&#26684;\a&#12288;&#20837;&#26413;&#21442;&#21152;&#36039;&#26684;&#32773;&#21517;&#31807;\&#9733;&#38651;&#23376;&#30003;&#35531;&#12471;&#12473;&#12486;&#12512;\RPA&#26908;&#35342;\&#12304;&#29289;&#21697;&#12305;&#20837;&#26413;&#21442;&#21152;&#30003;&#35531;&#26360;&#65288;RPA&#29992;&#65289;&#26412;&#30058;&#29872;&#22659;%20&#25968;&#24335;&#20462;&#27491;&#20013;&#652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030&#20250;&#35336;&#26908;&#26619;&#35506;\&#20196;&#21644;04&#24180;&#24230;\&#29289;&#21697;&#22865;&#32004;&#20418;\C&#12288;&#20837;&#26413;&#21442;&#21152;&#36039;&#26684;\a&#12288;&#20837;&#26413;&#21442;&#21152;&#36039;&#26684;&#32773;&#21517;&#31807;\&#9733;&#38651;&#23376;&#30003;&#35531;&#12471;&#12473;&#12486;&#12512;\RPA&#26908;&#35342;\&#12304;&#29289;&#21697;&#12305;&#20837;&#26413;&#21442;&#21152;&#30003;&#35531;&#26360;&#65288;&#29694;&#348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１号様式　別紙１"/>
      <sheetName val="第１号様式  別紙２"/>
      <sheetName val="第１号様式 別紙３"/>
      <sheetName val="第１号様式　別紙５"/>
      <sheetName val="第１号様式　別紙６"/>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等一覧"/>
      <sheetName val="第１号様式"/>
      <sheetName val="第１号様式　別紙１"/>
      <sheetName val="第１号様式  別紙２"/>
      <sheetName val="第１号様式 別紙３"/>
      <sheetName val="第１号様式　別紙４"/>
      <sheetName val="第１号様式　別紙５"/>
      <sheetName val="第１号様式　別紙６"/>
      <sheetName val="第１号様式　別紙７"/>
      <sheetName val="第１号様式　別紙８"/>
      <sheetName val="第１号様式　別紙９"/>
      <sheetName val="FAX連絡用紙"/>
      <sheetName val="第２号様式"/>
      <sheetName val="第３号様式"/>
    </sheetNames>
    <sheetDataSet>
      <sheetData sheetId="0"/>
      <sheetData sheetId="1">
        <row r="30">
          <cell r="H30"/>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0"/>
  <sheetViews>
    <sheetView showGridLines="0" showZeros="0" tabSelected="1" view="pageBreakPreview" zoomScaleNormal="100" zoomScaleSheetLayoutView="100" workbookViewId="0">
      <selection activeCell="F17" sqref="F17:J17"/>
    </sheetView>
  </sheetViews>
  <sheetFormatPr defaultColWidth="2.875" defaultRowHeight="13.5"/>
  <cols>
    <col min="1" max="3" width="2.875" style="2" customWidth="1"/>
    <col min="4" max="4" width="5.125" style="2" customWidth="1"/>
    <col min="5" max="28" width="2.875" style="2" customWidth="1"/>
    <col min="29" max="29" width="2.5" style="2" customWidth="1"/>
    <col min="30" max="30" width="1.75" style="2" customWidth="1"/>
    <col min="31" max="31" width="8.875" style="295" customWidth="1"/>
    <col min="32" max="32" width="2.375" style="2" customWidth="1"/>
    <col min="33" max="33" width="5.125" style="2" customWidth="1"/>
    <col min="34" max="34" width="9.125" style="58" hidden="1" customWidth="1"/>
    <col min="35" max="35" width="19.375" style="2" hidden="1" customWidth="1"/>
    <col min="36" max="36" width="7.25" style="2" hidden="1" customWidth="1"/>
    <col min="37" max="37" width="35" style="2" hidden="1" customWidth="1"/>
    <col min="38" max="38" width="4" style="2" hidden="1" customWidth="1"/>
    <col min="39" max="39" width="2.5" style="2" hidden="1" customWidth="1"/>
    <col min="40" max="40" width="4.25" style="2" customWidth="1"/>
    <col min="41" max="61" width="8.875" style="2" customWidth="1"/>
    <col min="62" max="16384" width="2.875" style="2"/>
  </cols>
  <sheetData>
    <row r="1" spans="1:35" ht="9" customHeight="1">
      <c r="A1" s="605" t="s">
        <v>237</v>
      </c>
      <c r="B1" s="605"/>
      <c r="C1" s="605"/>
      <c r="D1" s="605"/>
      <c r="M1" s="587" t="s">
        <v>685</v>
      </c>
      <c r="N1" s="588"/>
      <c r="O1" s="588"/>
      <c r="P1" s="589"/>
      <c r="Q1" s="593"/>
      <c r="R1" s="594"/>
      <c r="S1" s="594"/>
      <c r="T1" s="595"/>
      <c r="U1" s="587" t="s">
        <v>238</v>
      </c>
      <c r="V1" s="588"/>
      <c r="W1" s="588"/>
      <c r="X1" s="589"/>
      <c r="Y1" s="599"/>
      <c r="Z1" s="600"/>
      <c r="AA1" s="600"/>
      <c r="AB1" s="600"/>
      <c r="AC1" s="601"/>
      <c r="AE1" s="294"/>
      <c r="AH1" s="58" t="s">
        <v>649</v>
      </c>
    </row>
    <row r="2" spans="1:35" ht="9" customHeight="1">
      <c r="A2" s="605"/>
      <c r="B2" s="605"/>
      <c r="C2" s="605"/>
      <c r="D2" s="605"/>
      <c r="M2" s="590"/>
      <c r="N2" s="591"/>
      <c r="O2" s="591"/>
      <c r="P2" s="592"/>
      <c r="Q2" s="596"/>
      <c r="R2" s="597"/>
      <c r="S2" s="597"/>
      <c r="T2" s="598"/>
      <c r="U2" s="590"/>
      <c r="V2" s="591"/>
      <c r="W2" s="591"/>
      <c r="X2" s="592"/>
      <c r="Y2" s="602"/>
      <c r="Z2" s="603"/>
      <c r="AA2" s="603"/>
      <c r="AB2" s="603"/>
      <c r="AC2" s="604"/>
      <c r="AH2" s="58" t="s">
        <v>650</v>
      </c>
    </row>
    <row r="3" spans="1:35" ht="11.25" customHeight="1">
      <c r="B3"/>
      <c r="C3"/>
      <c r="D3"/>
      <c r="E3"/>
      <c r="F3"/>
      <c r="G3"/>
      <c r="S3" s="285"/>
      <c r="Z3" s="334" t="s">
        <v>840</v>
      </c>
      <c r="AD3" s="3"/>
      <c r="AH3" s="2" t="s">
        <v>216</v>
      </c>
      <c r="AI3" s="2" t="s">
        <v>215</v>
      </c>
    </row>
    <row r="4" spans="1:35" ht="11.25" customHeight="1">
      <c r="A4" s="1"/>
      <c r="B4"/>
      <c r="C4"/>
      <c r="D4"/>
      <c r="E4"/>
      <c r="F4"/>
      <c r="G4"/>
      <c r="AD4" s="3"/>
      <c r="AH4" s="58" t="s">
        <v>158</v>
      </c>
      <c r="AI4" s="2" t="s">
        <v>157</v>
      </c>
    </row>
    <row r="5" spans="1:35" ht="13.5" customHeight="1">
      <c r="A5" s="586" t="s">
        <v>922</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H5" s="58" t="s">
        <v>160</v>
      </c>
      <c r="AI5" s="2" t="s">
        <v>159</v>
      </c>
    </row>
    <row r="6" spans="1:35" ht="13.5" customHeight="1" thickBot="1">
      <c r="A6" s="586"/>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96"/>
      <c r="AE6" s="294" t="s">
        <v>737</v>
      </c>
      <c r="AH6" s="58" t="s">
        <v>162</v>
      </c>
      <c r="AI6" s="2" t="s">
        <v>161</v>
      </c>
    </row>
    <row r="7" spans="1:35" ht="18.95" customHeight="1" thickBot="1">
      <c r="A7" s="96"/>
      <c r="B7" s="96"/>
      <c r="C7" s="96"/>
      <c r="D7" s="96"/>
      <c r="E7" s="96"/>
      <c r="F7" s="96"/>
      <c r="G7" s="96"/>
      <c r="H7" s="96"/>
      <c r="I7" s="96"/>
      <c r="J7" s="96"/>
      <c r="K7" s="96"/>
      <c r="L7" s="96"/>
      <c r="M7" s="96"/>
      <c r="N7" s="96"/>
      <c r="O7" s="96"/>
      <c r="P7" s="96"/>
      <c r="Q7" s="96"/>
      <c r="R7" s="609" t="s">
        <v>652</v>
      </c>
      <c r="S7" s="610"/>
      <c r="T7" s="610"/>
      <c r="U7" s="610"/>
      <c r="V7" s="611" t="s">
        <v>701</v>
      </c>
      <c r="W7" s="612"/>
      <c r="X7" s="66"/>
      <c r="Y7" s="59" t="s">
        <v>702</v>
      </c>
      <c r="Z7" s="55"/>
      <c r="AA7" s="60" t="s">
        <v>703</v>
      </c>
      <c r="AB7" s="55"/>
      <c r="AC7" s="61" t="s">
        <v>704</v>
      </c>
      <c r="AD7" s="4"/>
      <c r="AE7" s="294" t="str">
        <f>IF(X7="","","R"&amp;TEXT((DATE(X7,Z7,AB7)),"yymmdd"))</f>
        <v/>
      </c>
      <c r="AH7" s="58" t="s">
        <v>164</v>
      </c>
      <c r="AI7" s="2" t="s">
        <v>163</v>
      </c>
    </row>
    <row r="8" spans="1:35">
      <c r="B8" s="331" t="s">
        <v>839</v>
      </c>
      <c r="C8" s="4"/>
      <c r="D8" s="4"/>
      <c r="E8" s="4"/>
      <c r="AH8" s="58" t="s">
        <v>166</v>
      </c>
      <c r="AI8" s="2" t="s">
        <v>165</v>
      </c>
    </row>
    <row r="9" spans="1:35" ht="7.5" customHeight="1">
      <c r="A9" s="1"/>
      <c r="AH9" s="58" t="s">
        <v>168</v>
      </c>
      <c r="AI9" s="2" t="s">
        <v>167</v>
      </c>
    </row>
    <row r="10" spans="1:35">
      <c r="A10" s="606" t="s">
        <v>841</v>
      </c>
      <c r="B10" s="607"/>
      <c r="C10" s="607"/>
      <c r="D10" s="607"/>
      <c r="E10" s="607"/>
      <c r="F10" s="607"/>
      <c r="G10" s="607"/>
      <c r="H10" s="607"/>
      <c r="I10" s="607"/>
      <c r="J10" s="607"/>
      <c r="K10" s="607"/>
      <c r="L10" s="607"/>
      <c r="M10" s="607"/>
      <c r="N10" s="607"/>
      <c r="O10" s="607"/>
      <c r="P10" s="607"/>
      <c r="Q10" s="607"/>
      <c r="R10" s="607"/>
      <c r="S10" s="607"/>
      <c r="T10" s="607"/>
      <c r="U10" s="607"/>
      <c r="V10" s="607"/>
      <c r="W10" s="607"/>
      <c r="X10" s="607"/>
      <c r="Y10" s="607"/>
      <c r="Z10" s="607"/>
      <c r="AA10" s="607"/>
      <c r="AB10" s="607"/>
      <c r="AC10" s="607"/>
      <c r="AD10" s="97"/>
      <c r="AH10" s="58" t="s">
        <v>170</v>
      </c>
      <c r="AI10" s="2" t="s">
        <v>169</v>
      </c>
    </row>
    <row r="11" spans="1:35">
      <c r="A11" s="607"/>
      <c r="B11" s="607"/>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c r="AC11" s="607"/>
      <c r="AD11" s="97"/>
      <c r="AH11" s="58" t="s">
        <v>172</v>
      </c>
      <c r="AI11" s="2" t="s">
        <v>171</v>
      </c>
    </row>
    <row r="12" spans="1:35">
      <c r="A12" s="607"/>
      <c r="B12" s="607"/>
      <c r="C12" s="607"/>
      <c r="D12" s="607"/>
      <c r="E12" s="607"/>
      <c r="F12" s="607"/>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97"/>
      <c r="AH12" s="58" t="s">
        <v>174</v>
      </c>
      <c r="AI12" s="2" t="s">
        <v>173</v>
      </c>
    </row>
    <row r="13" spans="1:35">
      <c r="A13" s="608"/>
      <c r="B13" s="608"/>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98"/>
      <c r="AH13" s="58" t="s">
        <v>176</v>
      </c>
      <c r="AI13" s="2" t="s">
        <v>175</v>
      </c>
    </row>
    <row r="14" spans="1:35" ht="6" customHeight="1">
      <c r="AH14" s="58" t="s">
        <v>178</v>
      </c>
      <c r="AI14" s="2" t="s">
        <v>177</v>
      </c>
    </row>
    <row r="15" spans="1:35" ht="6" customHeight="1">
      <c r="A15" s="1"/>
      <c r="AG15" s="62"/>
      <c r="AH15" s="58" t="s">
        <v>180</v>
      </c>
      <c r="AI15" s="2" t="s">
        <v>179</v>
      </c>
    </row>
    <row r="16" spans="1:35" ht="14.25" thickBot="1">
      <c r="A16" s="1"/>
      <c r="B16" s="67" t="s">
        <v>711</v>
      </c>
      <c r="C16" s="2" t="s">
        <v>66</v>
      </c>
      <c r="F16" s="613"/>
      <c r="G16" s="613"/>
      <c r="K16"/>
      <c r="L16"/>
      <c r="M16"/>
      <c r="N16"/>
      <c r="O16"/>
      <c r="P16"/>
      <c r="Q16"/>
      <c r="R16"/>
      <c r="S16"/>
      <c r="T16"/>
      <c r="U16"/>
      <c r="Y16" s="614"/>
      <c r="Z16" s="614"/>
      <c r="AA16" s="614"/>
      <c r="AB16" s="614"/>
      <c r="AC16" s="614"/>
      <c r="AG16" s="62"/>
      <c r="AH16" s="58" t="s">
        <v>88</v>
      </c>
      <c r="AI16" s="2" t="s">
        <v>181</v>
      </c>
    </row>
    <row r="17" spans="1:35" ht="25.15" customHeight="1" thickBot="1">
      <c r="A17" s="1"/>
      <c r="B17" s="98"/>
      <c r="C17" s="615"/>
      <c r="D17" s="616"/>
      <c r="E17" s="617"/>
      <c r="F17" s="618"/>
      <c r="G17" s="619"/>
      <c r="H17" s="619"/>
      <c r="I17" s="619"/>
      <c r="J17" s="619"/>
      <c r="K17" s="332"/>
      <c r="L17"/>
      <c r="M17"/>
      <c r="N17"/>
      <c r="O17"/>
      <c r="P17"/>
      <c r="Q17"/>
      <c r="R17"/>
      <c r="S17"/>
      <c r="T17"/>
      <c r="U17"/>
      <c r="V17" s="63"/>
      <c r="W17" s="63"/>
      <c r="X17" s="63"/>
      <c r="Y17" s="614"/>
      <c r="Z17" s="614"/>
      <c r="AA17" s="614"/>
      <c r="AB17" s="614"/>
      <c r="AC17" s="614"/>
      <c r="AG17" s="62"/>
      <c r="AH17" s="58" t="s">
        <v>183</v>
      </c>
      <c r="AI17" s="2" t="s">
        <v>182</v>
      </c>
    </row>
    <row r="18" spans="1:35" ht="5.85" customHeight="1">
      <c r="A18" s="1"/>
      <c r="B18" s="98"/>
      <c r="Y18" s="54"/>
      <c r="Z18" s="54"/>
      <c r="AA18" s="54"/>
      <c r="AB18" s="54"/>
      <c r="AC18" s="54"/>
      <c r="AG18" s="62"/>
      <c r="AH18" s="58" t="s">
        <v>185</v>
      </c>
      <c r="AI18" s="2" t="s">
        <v>184</v>
      </c>
    </row>
    <row r="19" spans="1:35" ht="14.25" thickBot="1">
      <c r="B19" s="67" t="s">
        <v>712</v>
      </c>
      <c r="C19" s="2" t="s">
        <v>65</v>
      </c>
      <c r="D19" s="4"/>
      <c r="E19" s="4"/>
      <c r="F19" s="4"/>
      <c r="G19" s="4"/>
      <c r="H19" s="4"/>
      <c r="I19" s="97"/>
      <c r="J19" s="4"/>
      <c r="K19" s="4"/>
      <c r="L19" s="4"/>
      <c r="M19" s="4"/>
      <c r="N19" s="97"/>
      <c r="O19" s="97"/>
      <c r="P19" s="97"/>
      <c r="Q19" s="97"/>
      <c r="R19" s="97"/>
      <c r="S19" s="97"/>
      <c r="T19" s="97"/>
      <c r="U19" s="97"/>
      <c r="V19" s="97"/>
      <c r="W19" s="97"/>
      <c r="X19" s="97"/>
      <c r="Y19" s="97"/>
      <c r="Z19" s="97"/>
      <c r="AH19" s="58" t="s">
        <v>187</v>
      </c>
      <c r="AI19" s="2" t="s">
        <v>186</v>
      </c>
    </row>
    <row r="20" spans="1:35" ht="13.5" customHeight="1">
      <c r="C20" s="553" t="s">
        <v>48</v>
      </c>
      <c r="D20" s="554"/>
      <c r="E20" s="554"/>
      <c r="F20" s="554"/>
      <c r="G20" s="555"/>
      <c r="H20" s="556"/>
      <c r="I20" s="557"/>
      <c r="J20" s="557"/>
      <c r="K20" s="557"/>
      <c r="L20" s="557"/>
      <c r="M20" s="557"/>
      <c r="N20" s="557"/>
      <c r="O20" s="557"/>
      <c r="P20" s="557"/>
      <c r="Q20" s="557"/>
      <c r="R20" s="557"/>
      <c r="S20" s="557"/>
      <c r="T20" s="557"/>
      <c r="U20" s="557"/>
      <c r="V20" s="557"/>
      <c r="W20" s="557"/>
      <c r="X20" s="557"/>
      <c r="Y20" s="557"/>
      <c r="Z20" s="557"/>
      <c r="AA20" s="557"/>
      <c r="AB20" s="557"/>
      <c r="AC20" s="558"/>
      <c r="AD20" s="6"/>
      <c r="AH20" s="58" t="s">
        <v>189</v>
      </c>
      <c r="AI20" s="2" t="s">
        <v>188</v>
      </c>
    </row>
    <row r="21" spans="1:35" ht="24" customHeight="1">
      <c r="C21" s="562" t="s">
        <v>122</v>
      </c>
      <c r="D21" s="563"/>
      <c r="E21" s="563"/>
      <c r="F21" s="563"/>
      <c r="G21" s="564"/>
      <c r="H21" s="516"/>
      <c r="I21" s="517"/>
      <c r="J21" s="517"/>
      <c r="K21" s="517"/>
      <c r="L21" s="517"/>
      <c r="M21" s="517"/>
      <c r="N21" s="517"/>
      <c r="O21" s="517"/>
      <c r="P21" s="517"/>
      <c r="Q21" s="517"/>
      <c r="R21" s="517"/>
      <c r="S21" s="517"/>
      <c r="T21" s="517"/>
      <c r="U21" s="517"/>
      <c r="V21" s="517"/>
      <c r="W21" s="517"/>
      <c r="X21" s="517"/>
      <c r="Y21" s="517"/>
      <c r="Z21" s="517"/>
      <c r="AA21" s="517"/>
      <c r="AB21" s="517"/>
      <c r="AC21" s="518"/>
      <c r="AD21" s="6"/>
      <c r="AH21" s="2" t="s">
        <v>86</v>
      </c>
      <c r="AI21" s="2" t="s">
        <v>190</v>
      </c>
    </row>
    <row r="22" spans="1:35" ht="30" customHeight="1">
      <c r="C22" s="514" t="s">
        <v>124</v>
      </c>
      <c r="D22" s="515"/>
      <c r="E22" s="515"/>
      <c r="F22" s="515"/>
      <c r="G22" s="534"/>
      <c r="H22" s="576" t="s">
        <v>123</v>
      </c>
      <c r="I22" s="534"/>
      <c r="J22" s="516"/>
      <c r="K22" s="517"/>
      <c r="L22" s="517"/>
      <c r="M22" s="517"/>
      <c r="N22" s="517"/>
      <c r="O22" s="583"/>
      <c r="P22" s="584" t="s">
        <v>243</v>
      </c>
      <c r="Q22" s="585"/>
      <c r="R22" s="516"/>
      <c r="S22" s="517"/>
      <c r="T22" s="517"/>
      <c r="U22" s="517"/>
      <c r="V22" s="517"/>
      <c r="W22" s="517"/>
      <c r="X22" s="517"/>
      <c r="Y22" s="517"/>
      <c r="Z22" s="517"/>
      <c r="AA22" s="517"/>
      <c r="AB22" s="517"/>
      <c r="AC22" s="518"/>
      <c r="AD22" s="6"/>
      <c r="AH22" s="2" t="s">
        <v>192</v>
      </c>
      <c r="AI22" s="2" t="s">
        <v>191</v>
      </c>
    </row>
    <row r="23" spans="1:35" ht="30" customHeight="1" thickBot="1">
      <c r="C23" s="519" t="s">
        <v>603</v>
      </c>
      <c r="D23" s="520"/>
      <c r="E23" s="520"/>
      <c r="F23" s="520"/>
      <c r="G23" s="520"/>
      <c r="H23" s="580"/>
      <c r="I23" s="581"/>
      <c r="J23" s="581"/>
      <c r="K23" s="581"/>
      <c r="L23" s="581"/>
      <c r="M23" s="581"/>
      <c r="N23" s="581"/>
      <c r="O23" s="581"/>
      <c r="P23" s="581"/>
      <c r="Q23" s="581"/>
      <c r="R23" s="581"/>
      <c r="S23" s="582"/>
      <c r="T23" s="577" t="s">
        <v>835</v>
      </c>
      <c r="U23" s="578"/>
      <c r="V23" s="578"/>
      <c r="W23" s="578"/>
      <c r="X23" s="578"/>
      <c r="Y23" s="578"/>
      <c r="Z23" s="578"/>
      <c r="AA23" s="578"/>
      <c r="AB23" s="578"/>
      <c r="AC23" s="579"/>
      <c r="AD23" s="6"/>
      <c r="AH23" s="2" t="s">
        <v>194</v>
      </c>
      <c r="AI23" s="2" t="s">
        <v>193</v>
      </c>
    </row>
    <row r="24" spans="1:35" ht="18" customHeight="1" thickBot="1">
      <c r="A24" s="1"/>
      <c r="B24" s="67" t="s">
        <v>713</v>
      </c>
      <c r="C24" s="2" t="s">
        <v>561</v>
      </c>
      <c r="Y24" s="113"/>
      <c r="Z24" s="113"/>
      <c r="AA24" s="113"/>
      <c r="AB24" s="113"/>
      <c r="AC24" s="308"/>
      <c r="AD24" s="309"/>
      <c r="AH24" s="2" t="s">
        <v>196</v>
      </c>
      <c r="AI24" s="2" t="s">
        <v>195</v>
      </c>
    </row>
    <row r="25" spans="1:35" ht="18" customHeight="1">
      <c r="B25" s="98"/>
      <c r="C25" s="573" t="s">
        <v>242</v>
      </c>
      <c r="D25" s="574"/>
      <c r="E25" s="575"/>
      <c r="F25" s="455"/>
      <c r="G25" s="456"/>
      <c r="H25" s="456"/>
      <c r="I25" s="456"/>
      <c r="J25" s="456"/>
      <c r="K25" s="456"/>
      <c r="L25" s="456"/>
      <c r="M25" s="457"/>
      <c r="N25" s="550" t="s">
        <v>709</v>
      </c>
      <c r="O25" s="551"/>
      <c r="P25" s="551"/>
      <c r="Q25" s="551"/>
      <c r="R25" s="551"/>
      <c r="S25" s="552"/>
      <c r="T25" s="548"/>
      <c r="U25" s="549"/>
      <c r="V25" s="549"/>
      <c r="W25" s="549"/>
      <c r="X25" s="549"/>
      <c r="Y25" s="68"/>
      <c r="Z25" s="546" t="str">
        <f>IF(T25="","",VLOOKUP(T25,AH3:AI33,2,FALSE))</f>
        <v/>
      </c>
      <c r="AA25" s="546"/>
      <c r="AB25" s="546"/>
      <c r="AC25" s="547"/>
      <c r="AD25" s="6"/>
      <c r="AH25" s="2" t="s">
        <v>198</v>
      </c>
      <c r="AI25" s="2" t="s">
        <v>197</v>
      </c>
    </row>
    <row r="26" spans="1:35">
      <c r="B26" s="98"/>
      <c r="C26" s="559" t="s">
        <v>45</v>
      </c>
      <c r="D26" s="560"/>
      <c r="E26" s="561"/>
      <c r="F26" s="565" t="s">
        <v>648</v>
      </c>
      <c r="G26" s="566"/>
      <c r="H26" s="566"/>
      <c r="I26" s="567"/>
      <c r="J26" s="568" t="s">
        <v>653</v>
      </c>
      <c r="K26" s="568"/>
      <c r="L26" s="568"/>
      <c r="M26" s="568"/>
      <c r="N26" s="568"/>
      <c r="O26" s="568"/>
      <c r="P26" s="568"/>
      <c r="Q26" s="568"/>
      <c r="R26" s="568"/>
      <c r="S26" s="568"/>
      <c r="T26" s="568"/>
      <c r="U26" s="568"/>
      <c r="V26" s="568"/>
      <c r="W26" s="568"/>
      <c r="X26" s="568"/>
      <c r="Y26" s="568"/>
      <c r="Z26" s="568"/>
      <c r="AA26" s="568"/>
      <c r="AB26" s="568"/>
      <c r="AC26" s="569"/>
      <c r="AD26" s="6"/>
      <c r="AE26" s="294" t="s">
        <v>737</v>
      </c>
      <c r="AH26" s="2" t="s">
        <v>200</v>
      </c>
      <c r="AI26" s="2" t="s">
        <v>199</v>
      </c>
    </row>
    <row r="27" spans="1:35" ht="24.95" customHeight="1">
      <c r="B27" s="98"/>
      <c r="C27" s="562"/>
      <c r="D27" s="563"/>
      <c r="E27" s="564"/>
      <c r="F27" s="570"/>
      <c r="G27" s="571"/>
      <c r="H27" s="571"/>
      <c r="I27" s="572"/>
      <c r="J27" s="544"/>
      <c r="K27" s="544"/>
      <c r="L27" s="544"/>
      <c r="M27" s="544"/>
      <c r="N27" s="544"/>
      <c r="O27" s="544"/>
      <c r="P27" s="544"/>
      <c r="Q27" s="544"/>
      <c r="R27" s="544"/>
      <c r="S27" s="544"/>
      <c r="T27" s="544"/>
      <c r="U27" s="544"/>
      <c r="V27" s="544"/>
      <c r="W27" s="544"/>
      <c r="X27" s="544"/>
      <c r="Y27" s="544"/>
      <c r="Z27" s="544"/>
      <c r="AA27" s="544"/>
      <c r="AB27" s="544"/>
      <c r="AC27" s="545"/>
      <c r="AD27" s="6"/>
      <c r="AE27" s="294" t="str">
        <f>IF(F27="","",IF(OR(F27="新潟県",別紙１!B7&lt;&gt;""),"yes","no"))</f>
        <v/>
      </c>
      <c r="AH27" s="2" t="s">
        <v>202</v>
      </c>
      <c r="AI27" s="2" t="s">
        <v>201</v>
      </c>
    </row>
    <row r="28" spans="1:35" ht="24.95" customHeight="1">
      <c r="B28" s="98"/>
      <c r="C28" s="541" t="s">
        <v>710</v>
      </c>
      <c r="D28" s="542"/>
      <c r="E28" s="542"/>
      <c r="F28" s="542"/>
      <c r="G28" s="542"/>
      <c r="H28" s="542"/>
      <c r="I28" s="543"/>
      <c r="J28" s="544"/>
      <c r="K28" s="544"/>
      <c r="L28" s="544"/>
      <c r="M28" s="544"/>
      <c r="N28" s="544"/>
      <c r="O28" s="544"/>
      <c r="P28" s="544"/>
      <c r="Q28" s="544"/>
      <c r="R28" s="544"/>
      <c r="S28" s="544"/>
      <c r="T28" s="544"/>
      <c r="U28" s="544"/>
      <c r="V28" s="544"/>
      <c r="W28" s="544"/>
      <c r="X28" s="544"/>
      <c r="Y28" s="544"/>
      <c r="Z28" s="544"/>
      <c r="AA28" s="544"/>
      <c r="AB28" s="544"/>
      <c r="AC28" s="545"/>
      <c r="AD28" s="114"/>
      <c r="AH28" s="2" t="s">
        <v>204</v>
      </c>
      <c r="AI28" s="2" t="s">
        <v>203</v>
      </c>
    </row>
    <row r="29" spans="1:35" ht="22.15" customHeight="1">
      <c r="B29" s="98"/>
      <c r="C29" s="514" t="s">
        <v>543</v>
      </c>
      <c r="D29" s="515"/>
      <c r="E29" s="534"/>
      <c r="F29" s="535"/>
      <c r="G29" s="536"/>
      <c r="H29" s="536"/>
      <c r="I29" s="536"/>
      <c r="J29" s="536"/>
      <c r="K29" s="536"/>
      <c r="L29" s="536"/>
      <c r="M29" s="536"/>
      <c r="N29" s="536"/>
      <c r="O29" s="537"/>
      <c r="P29" s="502" t="s">
        <v>12</v>
      </c>
      <c r="Q29" s="538"/>
      <c r="R29" s="539"/>
      <c r="S29" s="535"/>
      <c r="T29" s="536"/>
      <c r="U29" s="536"/>
      <c r="V29" s="536"/>
      <c r="W29" s="536"/>
      <c r="X29" s="536"/>
      <c r="Y29" s="536"/>
      <c r="Z29" s="536"/>
      <c r="AA29" s="536"/>
      <c r="AB29" s="536"/>
      <c r="AC29" s="540"/>
      <c r="AD29" s="64"/>
      <c r="AH29" s="2" t="s">
        <v>206</v>
      </c>
      <c r="AI29" s="2" t="s">
        <v>205</v>
      </c>
    </row>
    <row r="30" spans="1:35" ht="22.15" customHeight="1">
      <c r="C30" s="461" t="s">
        <v>720</v>
      </c>
      <c r="D30" s="462"/>
      <c r="E30" s="462"/>
      <c r="F30" s="462"/>
      <c r="G30" s="521"/>
      <c r="H30" s="523" t="s">
        <v>651</v>
      </c>
      <c r="I30" s="524"/>
      <c r="J30" s="524"/>
      <c r="K30" s="525"/>
      <c r="L30" s="526"/>
      <c r="M30" s="527"/>
      <c r="N30" s="527"/>
      <c r="O30" s="527"/>
      <c r="P30" s="527"/>
      <c r="Q30" s="527"/>
      <c r="R30" s="527"/>
      <c r="S30" s="527"/>
      <c r="T30" s="527"/>
      <c r="U30" s="527"/>
      <c r="V30" s="527"/>
      <c r="W30" s="527"/>
      <c r="X30" s="527"/>
      <c r="Y30" s="527"/>
      <c r="Z30" s="527"/>
      <c r="AA30" s="527"/>
      <c r="AB30" s="527"/>
      <c r="AC30" s="528"/>
      <c r="AD30" s="6"/>
      <c r="AH30" s="2" t="s">
        <v>208</v>
      </c>
      <c r="AI30" s="2" t="s">
        <v>207</v>
      </c>
    </row>
    <row r="31" spans="1:35" ht="22.15" customHeight="1" thickBot="1">
      <c r="C31" s="464"/>
      <c r="D31" s="465"/>
      <c r="E31" s="465"/>
      <c r="F31" s="465"/>
      <c r="G31" s="522"/>
      <c r="H31" s="529" t="s">
        <v>543</v>
      </c>
      <c r="I31" s="507"/>
      <c r="J31" s="507"/>
      <c r="K31" s="530"/>
      <c r="L31" s="531"/>
      <c r="M31" s="532"/>
      <c r="N31" s="532"/>
      <c r="O31" s="532"/>
      <c r="P31" s="532"/>
      <c r="Q31" s="532"/>
      <c r="R31" s="532"/>
      <c r="S31" s="532"/>
      <c r="T31" s="532"/>
      <c r="U31" s="532"/>
      <c r="V31" s="532"/>
      <c r="W31" s="532"/>
      <c r="X31" s="532"/>
      <c r="Y31" s="532"/>
      <c r="Z31" s="532"/>
      <c r="AA31" s="532"/>
      <c r="AB31" s="532"/>
      <c r="AC31" s="533"/>
      <c r="AD31" s="9"/>
      <c r="AH31" s="2" t="s">
        <v>210</v>
      </c>
      <c r="AI31" s="2" t="s">
        <v>209</v>
      </c>
    </row>
    <row r="32" spans="1:35" ht="6" customHeight="1">
      <c r="AH32" s="2" t="s">
        <v>212</v>
      </c>
      <c r="AI32" s="2" t="s">
        <v>211</v>
      </c>
    </row>
    <row r="33" spans="1:39" ht="13.5" customHeight="1">
      <c r="A33" s="10"/>
      <c r="B33" s="67" t="s">
        <v>714</v>
      </c>
      <c r="C33" s="11" t="s">
        <v>244</v>
      </c>
      <c r="D33" s="4"/>
      <c r="E33" s="12"/>
      <c r="F33" s="69" t="s">
        <v>842</v>
      </c>
      <c r="G33" s="12"/>
      <c r="I33" s="12"/>
      <c r="J33" s="12"/>
      <c r="K33" s="12"/>
      <c r="L33" s="12"/>
      <c r="M33" s="12"/>
      <c r="N33" s="12"/>
      <c r="O33" s="12"/>
      <c r="P33" s="12"/>
      <c r="Q33" s="12"/>
      <c r="R33" s="12"/>
      <c r="S33" s="12"/>
      <c r="T33" s="12"/>
      <c r="U33" s="12"/>
      <c r="V33" s="12"/>
      <c r="W33" s="12"/>
      <c r="X33" s="12"/>
      <c r="Y33" s="12"/>
      <c r="Z33" s="12"/>
      <c r="AA33" s="12"/>
      <c r="AB33" s="13"/>
      <c r="AH33" s="2" t="s">
        <v>214</v>
      </c>
      <c r="AI33" s="2" t="s">
        <v>213</v>
      </c>
    </row>
    <row r="34" spans="1:39" ht="18" customHeight="1" thickBot="1">
      <c r="A34" s="10"/>
      <c r="B34" s="67" t="s">
        <v>715</v>
      </c>
      <c r="C34" s="14" t="s">
        <v>762</v>
      </c>
      <c r="D34" s="15"/>
      <c r="E34" s="15"/>
      <c r="F34" s="15"/>
      <c r="G34" s="16"/>
      <c r="H34" s="12"/>
      <c r="I34" s="12"/>
      <c r="J34" s="12"/>
      <c r="K34" s="12"/>
      <c r="L34" s="12"/>
      <c r="M34" s="12"/>
      <c r="N34" s="12"/>
      <c r="O34" s="12"/>
      <c r="P34" s="12"/>
      <c r="Q34" s="12"/>
      <c r="R34" s="12"/>
      <c r="S34" s="12"/>
      <c r="T34" s="12"/>
      <c r="U34" s="12"/>
      <c r="V34" s="12"/>
      <c r="W34" s="12"/>
      <c r="X34" s="12"/>
      <c r="Y34" s="12"/>
      <c r="Z34" s="12"/>
      <c r="AA34" s="12"/>
      <c r="AB34" s="13"/>
      <c r="AH34" s="58" t="s">
        <v>142</v>
      </c>
      <c r="AJ34" s="2" t="s">
        <v>143</v>
      </c>
    </row>
    <row r="35" spans="1:39" ht="13.5" customHeight="1">
      <c r="A35" s="10"/>
      <c r="B35" s="4"/>
      <c r="C35" s="458" t="s">
        <v>560</v>
      </c>
      <c r="D35" s="459"/>
      <c r="E35" s="459"/>
      <c r="F35" s="459"/>
      <c r="G35" s="459"/>
      <c r="H35" s="459"/>
      <c r="I35" s="459"/>
      <c r="J35" s="460"/>
      <c r="K35" s="467" t="s">
        <v>248</v>
      </c>
      <c r="L35" s="468"/>
      <c r="M35" s="468"/>
      <c r="N35" s="468"/>
      <c r="O35" s="468"/>
      <c r="P35" s="468"/>
      <c r="Q35" s="468"/>
      <c r="R35" s="468"/>
      <c r="S35" s="468"/>
      <c r="T35" s="468"/>
      <c r="U35" s="468"/>
      <c r="V35" s="468"/>
      <c r="W35" s="468"/>
      <c r="X35" s="468"/>
      <c r="Y35" s="468"/>
      <c r="Z35" s="468"/>
      <c r="AA35" s="468"/>
      <c r="AB35" s="468"/>
      <c r="AC35" s="469"/>
      <c r="AH35" s="65" t="s">
        <v>125</v>
      </c>
      <c r="AI35" s="2" t="s">
        <v>249</v>
      </c>
      <c r="AJ35" s="65" t="s">
        <v>769</v>
      </c>
      <c r="AK35" s="2" t="s">
        <v>256</v>
      </c>
      <c r="AL35" s="65" t="s">
        <v>125</v>
      </c>
      <c r="AM35" s="2" t="s">
        <v>249</v>
      </c>
    </row>
    <row r="36" spans="1:39">
      <c r="B36" s="17"/>
      <c r="C36" s="461"/>
      <c r="D36" s="462"/>
      <c r="E36" s="462"/>
      <c r="F36" s="462"/>
      <c r="G36" s="462"/>
      <c r="H36" s="462"/>
      <c r="I36" s="462"/>
      <c r="J36" s="463"/>
      <c r="K36" s="470" t="s">
        <v>247</v>
      </c>
      <c r="L36" s="471"/>
      <c r="M36" s="472" t="s">
        <v>49</v>
      </c>
      <c r="N36" s="473"/>
      <c r="O36" s="473"/>
      <c r="P36" s="473"/>
      <c r="Q36" s="473"/>
      <c r="R36" s="473"/>
      <c r="S36" s="473"/>
      <c r="T36" s="472" t="s">
        <v>247</v>
      </c>
      <c r="U36" s="471"/>
      <c r="V36" s="472" t="s">
        <v>114</v>
      </c>
      <c r="W36" s="473"/>
      <c r="X36" s="473"/>
      <c r="Y36" s="473"/>
      <c r="Z36" s="473"/>
      <c r="AA36" s="473"/>
      <c r="AB36" s="473"/>
      <c r="AC36" s="18"/>
      <c r="AD36" s="6"/>
      <c r="AH36" s="65" t="s">
        <v>126</v>
      </c>
      <c r="AI36" s="2" t="s">
        <v>267</v>
      </c>
      <c r="AJ36" s="65" t="s">
        <v>770</v>
      </c>
      <c r="AK36" s="2" t="s">
        <v>261</v>
      </c>
      <c r="AL36" s="65" t="s">
        <v>125</v>
      </c>
      <c r="AM36" s="2" t="s">
        <v>249</v>
      </c>
    </row>
    <row r="37" spans="1:39" ht="20.100000000000001" customHeight="1">
      <c r="B37" s="17"/>
      <c r="C37" s="461"/>
      <c r="D37" s="462"/>
      <c r="E37" s="462"/>
      <c r="F37" s="462"/>
      <c r="G37" s="462"/>
      <c r="H37" s="462"/>
      <c r="I37" s="462"/>
      <c r="J37" s="463"/>
      <c r="K37" s="474"/>
      <c r="L37" s="475"/>
      <c r="M37" s="476" t="str">
        <f>IF(K37="","",VLOOKUP(K37,$AH$35:$AI$45,2,FALSE))</f>
        <v/>
      </c>
      <c r="N37" s="477"/>
      <c r="O37" s="477"/>
      <c r="P37" s="477"/>
      <c r="Q37" s="477"/>
      <c r="R37" s="477"/>
      <c r="S37" s="477"/>
      <c r="T37" s="474"/>
      <c r="U37" s="475"/>
      <c r="V37" s="476" t="str">
        <f>IF(T37="","",VLOOKUP(T37,$AH$35:$AI$45,2,FALSE))</f>
        <v/>
      </c>
      <c r="W37" s="477"/>
      <c r="X37" s="477"/>
      <c r="Y37" s="477"/>
      <c r="Z37" s="477"/>
      <c r="AA37" s="477"/>
      <c r="AB37" s="477"/>
      <c r="AC37" s="513"/>
      <c r="AD37" s="6"/>
      <c r="AH37" s="65" t="s">
        <v>128</v>
      </c>
      <c r="AI37" s="2" t="s">
        <v>250</v>
      </c>
      <c r="AJ37" s="65" t="s">
        <v>771</v>
      </c>
      <c r="AK37" s="2" t="s">
        <v>268</v>
      </c>
      <c r="AL37" s="65" t="s">
        <v>126</v>
      </c>
      <c r="AM37" s="2" t="s">
        <v>267</v>
      </c>
    </row>
    <row r="38" spans="1:39" ht="20.100000000000001" customHeight="1">
      <c r="B38" s="17"/>
      <c r="C38" s="461"/>
      <c r="D38" s="462"/>
      <c r="E38" s="462"/>
      <c r="F38" s="462"/>
      <c r="G38" s="462"/>
      <c r="H38" s="462"/>
      <c r="I38" s="462"/>
      <c r="J38" s="463"/>
      <c r="K38" s="474"/>
      <c r="L38" s="475"/>
      <c r="M38" s="476" t="str">
        <f t="shared" ref="M38:M40" si="0">IF(K38="","",VLOOKUP(K38,$AH$35:$AI$45,2,FALSE))</f>
        <v/>
      </c>
      <c r="N38" s="477"/>
      <c r="O38" s="477"/>
      <c r="P38" s="477"/>
      <c r="Q38" s="477"/>
      <c r="R38" s="477"/>
      <c r="S38" s="477"/>
      <c r="T38" s="474"/>
      <c r="U38" s="475"/>
      <c r="V38" s="476" t="str">
        <f t="shared" ref="V38:V39" si="1">IF(T38="","",VLOOKUP(T38,$AH$35:$AI$45,2,FALSE))</f>
        <v/>
      </c>
      <c r="W38" s="477"/>
      <c r="X38" s="477"/>
      <c r="Y38" s="477"/>
      <c r="Z38" s="477"/>
      <c r="AA38" s="477"/>
      <c r="AB38" s="477"/>
      <c r="AC38" s="513"/>
      <c r="AD38" s="6"/>
      <c r="AH38" s="65" t="s">
        <v>130</v>
      </c>
      <c r="AI38" s="2" t="s">
        <v>251</v>
      </c>
      <c r="AJ38" s="65" t="s">
        <v>772</v>
      </c>
      <c r="AK38" s="2" t="s">
        <v>277</v>
      </c>
      <c r="AL38" s="65" t="s">
        <v>128</v>
      </c>
      <c r="AM38" s="2" t="s">
        <v>250</v>
      </c>
    </row>
    <row r="39" spans="1:39" ht="20.100000000000001" customHeight="1">
      <c r="B39" s="17"/>
      <c r="C39" s="461"/>
      <c r="D39" s="462"/>
      <c r="E39" s="462"/>
      <c r="F39" s="462"/>
      <c r="G39" s="462"/>
      <c r="H39" s="462"/>
      <c r="I39" s="462"/>
      <c r="J39" s="463"/>
      <c r="K39" s="474"/>
      <c r="L39" s="475"/>
      <c r="M39" s="476" t="str">
        <f t="shared" si="0"/>
        <v/>
      </c>
      <c r="N39" s="477"/>
      <c r="O39" s="477"/>
      <c r="P39" s="477"/>
      <c r="Q39" s="477"/>
      <c r="R39" s="477"/>
      <c r="S39" s="477"/>
      <c r="T39" s="474"/>
      <c r="U39" s="475"/>
      <c r="V39" s="476" t="str">
        <f t="shared" si="1"/>
        <v/>
      </c>
      <c r="W39" s="477"/>
      <c r="X39" s="477"/>
      <c r="Y39" s="477"/>
      <c r="Z39" s="477"/>
      <c r="AA39" s="477"/>
      <c r="AB39" s="477"/>
      <c r="AC39" s="513"/>
      <c r="AD39" s="6"/>
      <c r="AH39" s="65" t="s">
        <v>132</v>
      </c>
      <c r="AI39" s="2" t="s">
        <v>140</v>
      </c>
      <c r="AJ39" s="65" t="s">
        <v>773</v>
      </c>
      <c r="AK39" s="2" t="s">
        <v>598</v>
      </c>
      <c r="AL39" s="65" t="s">
        <v>128</v>
      </c>
      <c r="AM39" s="2" t="s">
        <v>250</v>
      </c>
    </row>
    <row r="40" spans="1:39" ht="20.100000000000001" customHeight="1" thickBot="1">
      <c r="B40" s="17"/>
      <c r="C40" s="461"/>
      <c r="D40" s="462"/>
      <c r="E40" s="462"/>
      <c r="F40" s="462"/>
      <c r="G40" s="462"/>
      <c r="H40" s="462"/>
      <c r="I40" s="462"/>
      <c r="J40" s="463"/>
      <c r="K40" s="474"/>
      <c r="L40" s="475"/>
      <c r="M40" s="476" t="str">
        <f t="shared" si="0"/>
        <v/>
      </c>
      <c r="N40" s="477"/>
      <c r="O40" s="477"/>
      <c r="P40" s="477"/>
      <c r="Q40" s="477"/>
      <c r="R40" s="477"/>
      <c r="S40" s="477"/>
      <c r="T40" s="478"/>
      <c r="U40" s="479"/>
      <c r="V40" s="480" t="str">
        <f>IF(T40="","",VLOOKUP(T40,$AH$35:$AI$45,2,FALSE))</f>
        <v/>
      </c>
      <c r="W40" s="481"/>
      <c r="X40" s="481"/>
      <c r="Y40" s="481"/>
      <c r="Z40" s="481"/>
      <c r="AA40" s="481"/>
      <c r="AB40" s="481"/>
      <c r="AC40" s="482"/>
      <c r="AD40" s="6"/>
      <c r="AH40" s="65" t="s">
        <v>134</v>
      </c>
      <c r="AI40" s="2" t="s">
        <v>141</v>
      </c>
      <c r="AJ40" s="65" t="s">
        <v>774</v>
      </c>
      <c r="AK40" s="2" t="s">
        <v>286</v>
      </c>
      <c r="AL40" s="65" t="s">
        <v>127</v>
      </c>
      <c r="AM40" s="2" t="s">
        <v>250</v>
      </c>
    </row>
    <row r="41" spans="1:39" ht="20.100000000000001" customHeight="1" thickBot="1">
      <c r="B41" s="4"/>
      <c r="C41" s="464"/>
      <c r="D41" s="465"/>
      <c r="E41" s="465"/>
      <c r="F41" s="465"/>
      <c r="G41" s="465"/>
      <c r="H41" s="465"/>
      <c r="I41" s="465"/>
      <c r="J41" s="466"/>
      <c r="K41" s="474"/>
      <c r="L41" s="475"/>
      <c r="M41" s="480" t="str">
        <f>IF(K41="","",VLOOKUP(K41,$AH$35:$AI$45,2,FALSE))</f>
        <v/>
      </c>
      <c r="N41" s="481"/>
      <c r="O41" s="481"/>
      <c r="P41" s="481"/>
      <c r="Q41" s="481"/>
      <c r="R41" s="481"/>
      <c r="S41" s="482"/>
      <c r="T41" s="19"/>
      <c r="U41" s="20"/>
      <c r="V41" s="95"/>
      <c r="W41" s="95"/>
      <c r="X41" s="21" t="str">
        <f>IF(T41="","",VLOOKUP(T41,#REF!,2,FALSE))</f>
        <v/>
      </c>
      <c r="Y41" s="21"/>
      <c r="Z41" s="21"/>
      <c r="AA41" s="21"/>
      <c r="AB41" s="6"/>
      <c r="AH41" s="65" t="s">
        <v>135</v>
      </c>
      <c r="AI41" s="2" t="s">
        <v>253</v>
      </c>
      <c r="AJ41" s="65" t="s">
        <v>775</v>
      </c>
      <c r="AK41" s="2" t="s">
        <v>292</v>
      </c>
      <c r="AL41" s="65" t="s">
        <v>127</v>
      </c>
      <c r="AM41" s="2" t="s">
        <v>250</v>
      </c>
    </row>
    <row r="42" spans="1:39" ht="18" customHeight="1" thickBot="1">
      <c r="B42" s="67" t="s">
        <v>716</v>
      </c>
      <c r="C42" s="23" t="s">
        <v>761</v>
      </c>
      <c r="D42" s="21"/>
      <c r="E42" s="21"/>
      <c r="F42" s="21"/>
      <c r="G42" s="21"/>
      <c r="H42" s="21"/>
      <c r="I42" s="21"/>
      <c r="J42" s="21"/>
      <c r="K42" s="24"/>
      <c r="L42" s="24"/>
      <c r="M42" s="95"/>
      <c r="N42" s="95"/>
      <c r="O42" s="21"/>
      <c r="P42" s="21"/>
      <c r="Q42" s="21"/>
      <c r="R42" s="21"/>
      <c r="S42" s="21"/>
      <c r="T42" s="21"/>
      <c r="U42" s="21"/>
      <c r="V42" s="21"/>
      <c r="W42" s="21"/>
      <c r="X42" s="21"/>
      <c r="Y42" s="21"/>
      <c r="Z42" s="21"/>
      <c r="AH42" s="65" t="s">
        <v>137</v>
      </c>
      <c r="AI42" s="2" t="s">
        <v>432</v>
      </c>
      <c r="AJ42" s="65" t="s">
        <v>776</v>
      </c>
      <c r="AK42" s="2" t="s">
        <v>295</v>
      </c>
      <c r="AL42" s="65" t="s">
        <v>127</v>
      </c>
      <c r="AM42" s="2" t="s">
        <v>250</v>
      </c>
    </row>
    <row r="43" spans="1:39" ht="13.5" customHeight="1">
      <c r="B43" s="4"/>
      <c r="C43" s="446" t="s">
        <v>739</v>
      </c>
      <c r="D43" s="447"/>
      <c r="E43" s="447"/>
      <c r="F43" s="447"/>
      <c r="G43" s="447"/>
      <c r="H43" s="448"/>
      <c r="I43" s="458" t="s">
        <v>246</v>
      </c>
      <c r="J43" s="494"/>
      <c r="K43" s="467" t="s">
        <v>248</v>
      </c>
      <c r="L43" s="497"/>
      <c r="M43" s="497"/>
      <c r="N43" s="497"/>
      <c r="O43" s="497"/>
      <c r="P43" s="497"/>
      <c r="Q43" s="497"/>
      <c r="R43" s="498"/>
      <c r="S43" s="499" t="s">
        <v>121</v>
      </c>
      <c r="T43" s="468"/>
      <c r="U43" s="468"/>
      <c r="V43" s="468"/>
      <c r="W43" s="468"/>
      <c r="X43" s="468"/>
      <c r="Y43" s="468"/>
      <c r="Z43" s="468"/>
      <c r="AA43" s="468"/>
      <c r="AB43" s="468"/>
      <c r="AC43" s="469"/>
      <c r="AD43" s="64"/>
      <c r="AH43" s="65" t="s">
        <v>139</v>
      </c>
      <c r="AI43" s="2" t="s">
        <v>254</v>
      </c>
      <c r="AJ43" s="65" t="s">
        <v>777</v>
      </c>
      <c r="AK43" s="2" t="s">
        <v>299</v>
      </c>
      <c r="AL43" s="65" t="s">
        <v>130</v>
      </c>
      <c r="AM43" s="2" t="s">
        <v>251</v>
      </c>
    </row>
    <row r="44" spans="1:39" ht="13.5" customHeight="1">
      <c r="B44" s="4"/>
      <c r="C44" s="449"/>
      <c r="D44" s="450"/>
      <c r="E44" s="450"/>
      <c r="F44" s="450"/>
      <c r="G44" s="450"/>
      <c r="H44" s="451"/>
      <c r="I44" s="495"/>
      <c r="J44" s="496"/>
      <c r="K44" s="500" t="s">
        <v>247</v>
      </c>
      <c r="L44" s="501"/>
      <c r="M44" s="502" t="s">
        <v>114</v>
      </c>
      <c r="N44" s="503"/>
      <c r="O44" s="503"/>
      <c r="P44" s="503"/>
      <c r="Q44" s="503"/>
      <c r="R44" s="504"/>
      <c r="S44" s="502" t="s">
        <v>247</v>
      </c>
      <c r="T44" s="504"/>
      <c r="U44" s="502" t="s">
        <v>114</v>
      </c>
      <c r="V44" s="503"/>
      <c r="W44" s="503"/>
      <c r="X44" s="503"/>
      <c r="Y44" s="503"/>
      <c r="Z44" s="503"/>
      <c r="AA44" s="503"/>
      <c r="AB44" s="503"/>
      <c r="AC44" s="505"/>
      <c r="AD44" s="64"/>
      <c r="AH44" s="65" t="s">
        <v>903</v>
      </c>
      <c r="AI44" s="2" t="s">
        <v>906</v>
      </c>
      <c r="AJ44" s="65" t="s">
        <v>778</v>
      </c>
      <c r="AK44" s="2" t="s">
        <v>309</v>
      </c>
      <c r="AL44" s="65" t="s">
        <v>130</v>
      </c>
      <c r="AM44" s="2" t="s">
        <v>251</v>
      </c>
    </row>
    <row r="45" spans="1:39" ht="23.1" customHeight="1">
      <c r="B45" s="4"/>
      <c r="C45" s="449"/>
      <c r="D45" s="450"/>
      <c r="E45" s="450"/>
      <c r="F45" s="450"/>
      <c r="G45" s="450"/>
      <c r="H45" s="451"/>
      <c r="I45" s="514">
        <v>1</v>
      </c>
      <c r="J45" s="515"/>
      <c r="K45" s="492" t="str">
        <f>IF(S45="","",VLOOKUP(S45,$AJ$35:$AL$90,3,FALSE))</f>
        <v/>
      </c>
      <c r="L45" s="493"/>
      <c r="M45" s="476" t="str">
        <f>IF(S45="","",VLOOKUP(S45,$AJ$35:$AM$90,4,FALSE))</f>
        <v/>
      </c>
      <c r="N45" s="477"/>
      <c r="O45" s="477"/>
      <c r="P45" s="477"/>
      <c r="Q45" s="477"/>
      <c r="R45" s="486"/>
      <c r="S45" s="487"/>
      <c r="T45" s="488"/>
      <c r="U45" s="489" t="str">
        <f>IF(S45="","",VLOOKUP(S45,$AJ$35:$AK$90,2,FALSE))</f>
        <v/>
      </c>
      <c r="V45" s="490"/>
      <c r="W45" s="490"/>
      <c r="X45" s="490"/>
      <c r="Y45" s="490"/>
      <c r="Z45" s="490"/>
      <c r="AA45" s="490"/>
      <c r="AB45" s="490"/>
      <c r="AC45" s="491"/>
      <c r="AD45" s="6"/>
      <c r="AH45" s="65" t="s">
        <v>905</v>
      </c>
      <c r="AI45" s="2" t="s">
        <v>907</v>
      </c>
      <c r="AJ45" s="65" t="s">
        <v>779</v>
      </c>
      <c r="AK45" s="2" t="s">
        <v>318</v>
      </c>
      <c r="AL45" s="65" t="s">
        <v>129</v>
      </c>
      <c r="AM45" s="2" t="s">
        <v>251</v>
      </c>
    </row>
    <row r="46" spans="1:39" ht="23.1" customHeight="1">
      <c r="B46" s="4"/>
      <c r="C46" s="449"/>
      <c r="D46" s="450"/>
      <c r="E46" s="450"/>
      <c r="F46" s="450"/>
      <c r="G46" s="450"/>
      <c r="H46" s="451"/>
      <c r="I46" s="514">
        <v>2</v>
      </c>
      <c r="J46" s="515"/>
      <c r="K46" s="492" t="str">
        <f>IF(S46="","",VLOOKUP(S46,$AJ$35:$AL$90,3,FALSE))</f>
        <v/>
      </c>
      <c r="L46" s="493"/>
      <c r="M46" s="476" t="str">
        <f>IF(S46="","",VLOOKUP(S46,$AJ$35:$AM$90,4,FALSE))</f>
        <v/>
      </c>
      <c r="N46" s="477"/>
      <c r="O46" s="477"/>
      <c r="P46" s="477"/>
      <c r="Q46" s="477"/>
      <c r="R46" s="486"/>
      <c r="S46" s="487"/>
      <c r="T46" s="488"/>
      <c r="U46" s="489" t="str">
        <f>IF(S46="","",VLOOKUP(S46,$AJ$35:$AK$90,2,FALSE))</f>
        <v/>
      </c>
      <c r="V46" s="490"/>
      <c r="W46" s="490"/>
      <c r="X46" s="490"/>
      <c r="Y46" s="490"/>
      <c r="Z46" s="490"/>
      <c r="AA46" s="490"/>
      <c r="AB46" s="490"/>
      <c r="AC46" s="491"/>
      <c r="AD46" s="6"/>
      <c r="AH46" s="65"/>
      <c r="AJ46" s="65" t="s">
        <v>780</v>
      </c>
      <c r="AK46" s="2" t="s">
        <v>327</v>
      </c>
      <c r="AL46" s="65" t="s">
        <v>129</v>
      </c>
      <c r="AM46" s="2" t="s">
        <v>251</v>
      </c>
    </row>
    <row r="47" spans="1:39" ht="23.1" customHeight="1" thickBot="1">
      <c r="B47" s="4"/>
      <c r="C47" s="452"/>
      <c r="D47" s="453"/>
      <c r="E47" s="453"/>
      <c r="F47" s="453"/>
      <c r="G47" s="453"/>
      <c r="H47" s="454"/>
      <c r="I47" s="506">
        <v>3</v>
      </c>
      <c r="J47" s="507"/>
      <c r="K47" s="508" t="str">
        <f>IF(S47="","",VLOOKUP(S47,$AJ$35:$AL$90,3,FALSE))</f>
        <v/>
      </c>
      <c r="L47" s="509"/>
      <c r="M47" s="480" t="str">
        <f>IF(S47="","",VLOOKUP(S47,$AJ$35:$AM$90,4,FALSE))</f>
        <v/>
      </c>
      <c r="N47" s="481"/>
      <c r="O47" s="481"/>
      <c r="P47" s="481"/>
      <c r="Q47" s="481"/>
      <c r="R47" s="510"/>
      <c r="S47" s="511"/>
      <c r="T47" s="512"/>
      <c r="U47" s="483" t="str">
        <f>IF(S47="","",VLOOKUP(S47,$AJ$35:$AK$90,2,FALSE))</f>
        <v/>
      </c>
      <c r="V47" s="484"/>
      <c r="W47" s="484"/>
      <c r="X47" s="484"/>
      <c r="Y47" s="484"/>
      <c r="Z47" s="484"/>
      <c r="AA47" s="484"/>
      <c r="AB47" s="484"/>
      <c r="AC47" s="485"/>
      <c r="AD47" s="6"/>
      <c r="AH47" s="65"/>
      <c r="AJ47" s="65" t="s">
        <v>781</v>
      </c>
      <c r="AK47" s="2" t="s">
        <v>144</v>
      </c>
      <c r="AL47" s="65" t="s">
        <v>129</v>
      </c>
      <c r="AM47" s="2" t="s">
        <v>251</v>
      </c>
    </row>
    <row r="48" spans="1:39" ht="6" customHeight="1">
      <c r="B48" s="98"/>
      <c r="C48" s="7"/>
      <c r="D48" s="7"/>
      <c r="E48" s="7"/>
      <c r="F48" s="8"/>
      <c r="G48" s="64"/>
      <c r="H48" s="64"/>
      <c r="I48" s="64"/>
      <c r="J48" s="64"/>
      <c r="K48" s="64"/>
      <c r="L48" s="64"/>
      <c r="M48" s="64"/>
      <c r="N48" s="64"/>
      <c r="O48" s="64"/>
      <c r="P48" s="64"/>
      <c r="Q48" s="64"/>
      <c r="R48" s="64"/>
      <c r="S48" s="64"/>
      <c r="T48" s="64"/>
      <c r="U48" s="64"/>
      <c r="V48" s="64"/>
      <c r="W48" s="64"/>
      <c r="X48" s="64"/>
      <c r="Y48" s="64"/>
      <c r="Z48" s="64"/>
      <c r="AA48" s="64"/>
      <c r="AB48" s="64"/>
      <c r="AC48" s="64"/>
      <c r="AD48" s="64"/>
      <c r="AH48" s="2"/>
      <c r="AJ48" s="65" t="s">
        <v>782</v>
      </c>
      <c r="AK48" s="2" t="s">
        <v>344</v>
      </c>
      <c r="AL48" s="65" t="s">
        <v>129</v>
      </c>
      <c r="AM48" s="2" t="s">
        <v>251</v>
      </c>
    </row>
    <row r="49" spans="2:39">
      <c r="B49" s="67" t="s">
        <v>717</v>
      </c>
      <c r="C49" s="22" t="s">
        <v>245</v>
      </c>
      <c r="D49" s="4"/>
      <c r="E49" s="4"/>
      <c r="G49" s="4"/>
      <c r="H49" s="4"/>
      <c r="I49" s="27" t="s">
        <v>594</v>
      </c>
      <c r="J49" s="4"/>
      <c r="K49" s="4"/>
      <c r="L49" s="4"/>
      <c r="M49" s="4"/>
      <c r="N49" s="4"/>
      <c r="O49" s="4"/>
      <c r="P49" s="4"/>
      <c r="Q49" s="4"/>
      <c r="R49" s="4"/>
      <c r="S49" s="4"/>
      <c r="T49" s="4"/>
      <c r="U49" s="4"/>
      <c r="V49" s="4"/>
      <c r="W49" s="4"/>
      <c r="X49" s="4"/>
      <c r="Y49" s="4"/>
      <c r="Z49" s="4"/>
      <c r="AA49" s="4"/>
      <c r="AB49" s="4"/>
      <c r="AJ49" s="65" t="s">
        <v>783</v>
      </c>
      <c r="AK49" s="2" t="s">
        <v>352</v>
      </c>
      <c r="AL49" s="65" t="s">
        <v>129</v>
      </c>
      <c r="AM49" s="2" t="s">
        <v>251</v>
      </c>
    </row>
    <row r="50" spans="2:39">
      <c r="B50" s="67" t="s">
        <v>718</v>
      </c>
      <c r="C50" s="25" t="s">
        <v>46</v>
      </c>
      <c r="D50" s="4"/>
      <c r="E50" s="4"/>
      <c r="F50" s="4"/>
      <c r="G50" s="4"/>
      <c r="H50" s="4"/>
      <c r="I50" s="70" t="s">
        <v>814</v>
      </c>
      <c r="J50" s="97"/>
      <c r="L50" s="97"/>
      <c r="M50" s="97"/>
      <c r="N50" s="97"/>
      <c r="O50" s="97"/>
      <c r="P50" s="97"/>
      <c r="Q50" s="97"/>
      <c r="R50" s="97"/>
      <c r="S50" s="97"/>
      <c r="T50" s="97"/>
      <c r="U50" s="97"/>
      <c r="V50" s="97"/>
      <c r="W50" s="97"/>
      <c r="X50" s="97"/>
      <c r="Y50" s="97"/>
      <c r="Z50" s="97"/>
      <c r="AA50" s="97"/>
      <c r="AB50" s="97"/>
      <c r="AC50" s="97"/>
      <c r="AJ50" s="65" t="s">
        <v>784</v>
      </c>
      <c r="AK50" s="2" t="s">
        <v>358</v>
      </c>
      <c r="AL50" s="65" t="s">
        <v>129</v>
      </c>
      <c r="AM50" s="2" t="s">
        <v>251</v>
      </c>
    </row>
    <row r="51" spans="2:39">
      <c r="B51" s="67" t="s">
        <v>719</v>
      </c>
      <c r="C51" s="25" t="s">
        <v>47</v>
      </c>
      <c r="D51" s="4"/>
      <c r="E51" s="4"/>
      <c r="F51" s="4"/>
      <c r="G51" s="4"/>
      <c r="H51" s="4"/>
      <c r="I51" s="70" t="s">
        <v>760</v>
      </c>
      <c r="J51" s="97"/>
      <c r="L51" s="97"/>
      <c r="M51" s="97"/>
      <c r="N51" s="97"/>
      <c r="O51" s="97"/>
      <c r="P51" s="97"/>
      <c r="Q51" s="97"/>
      <c r="R51" s="97"/>
      <c r="S51" s="97"/>
      <c r="T51" s="97"/>
      <c r="U51" s="97"/>
      <c r="V51" s="97"/>
      <c r="W51" s="97"/>
      <c r="X51" s="97"/>
      <c r="Y51" s="97"/>
      <c r="Z51" s="97"/>
      <c r="AA51" s="97"/>
      <c r="AB51" s="97"/>
      <c r="AC51" s="97"/>
      <c r="AD51" s="97"/>
      <c r="AJ51" s="65" t="s">
        <v>785</v>
      </c>
      <c r="AK51" s="2" t="s">
        <v>362</v>
      </c>
      <c r="AL51" s="65" t="s">
        <v>129</v>
      </c>
      <c r="AM51" s="2" t="s">
        <v>251</v>
      </c>
    </row>
    <row r="52" spans="2:39">
      <c r="B52" s="4"/>
      <c r="C52" s="4"/>
      <c r="D52" s="4"/>
      <c r="E52" s="4"/>
      <c r="F52" s="4"/>
      <c r="G52" s="4"/>
      <c r="H52" s="4"/>
      <c r="I52" s="4"/>
      <c r="J52" s="4"/>
      <c r="K52" s="4"/>
      <c r="L52" s="4"/>
      <c r="M52" s="4"/>
      <c r="N52" s="4"/>
      <c r="O52" s="4"/>
      <c r="P52" s="4"/>
      <c r="Q52" s="4"/>
      <c r="R52" s="4"/>
      <c r="S52" s="4"/>
      <c r="T52" s="4"/>
      <c r="U52" s="4"/>
      <c r="V52" s="4"/>
      <c r="W52" s="4"/>
      <c r="X52" s="4"/>
      <c r="Y52" s="4"/>
      <c r="Z52" s="4"/>
      <c r="AA52" s="4"/>
      <c r="AB52" s="4"/>
      <c r="AJ52" s="65" t="s">
        <v>786</v>
      </c>
      <c r="AK52" s="2" t="s">
        <v>371</v>
      </c>
      <c r="AL52" s="65" t="s">
        <v>129</v>
      </c>
      <c r="AM52" s="2" t="s">
        <v>251</v>
      </c>
    </row>
    <row r="53" spans="2:39">
      <c r="AJ53" s="65" t="s">
        <v>787</v>
      </c>
      <c r="AK53" s="2" t="s">
        <v>374</v>
      </c>
      <c r="AL53" s="65" t="s">
        <v>129</v>
      </c>
      <c r="AM53" s="2" t="s">
        <v>251</v>
      </c>
    </row>
    <row r="54" spans="2:39">
      <c r="AJ54" s="65" t="s">
        <v>788</v>
      </c>
      <c r="AK54" s="2" t="s">
        <v>382</v>
      </c>
      <c r="AL54" s="65" t="s">
        <v>132</v>
      </c>
      <c r="AM54" s="2" t="s">
        <v>140</v>
      </c>
    </row>
    <row r="55" spans="2:39">
      <c r="AJ55" s="65" t="s">
        <v>789</v>
      </c>
      <c r="AK55" s="2" t="s">
        <v>145</v>
      </c>
      <c r="AL55" s="65" t="s">
        <v>132</v>
      </c>
      <c r="AM55" s="2" t="s">
        <v>140</v>
      </c>
    </row>
    <row r="56" spans="2:39">
      <c r="AJ56" s="65" t="s">
        <v>790</v>
      </c>
      <c r="AK56" s="2" t="s">
        <v>146</v>
      </c>
      <c r="AL56" s="65" t="s">
        <v>131</v>
      </c>
      <c r="AM56" s="2" t="s">
        <v>140</v>
      </c>
    </row>
    <row r="57" spans="2:39">
      <c r="AJ57" s="65" t="s">
        <v>791</v>
      </c>
      <c r="AK57" s="2" t="s">
        <v>405</v>
      </c>
      <c r="AL57" s="65" t="s">
        <v>134</v>
      </c>
      <c r="AM57" s="2" t="s">
        <v>141</v>
      </c>
    </row>
    <row r="58" spans="2:39">
      <c r="AJ58" s="65" t="s">
        <v>792</v>
      </c>
      <c r="AK58" s="2" t="s">
        <v>98</v>
      </c>
      <c r="AL58" s="65" t="s">
        <v>134</v>
      </c>
      <c r="AM58" s="2" t="s">
        <v>141</v>
      </c>
    </row>
    <row r="59" spans="2:39">
      <c r="AJ59" s="65" t="s">
        <v>793</v>
      </c>
      <c r="AK59" s="2" t="s">
        <v>156</v>
      </c>
      <c r="AL59" s="65" t="s">
        <v>133</v>
      </c>
      <c r="AM59" s="2" t="s">
        <v>141</v>
      </c>
    </row>
    <row r="60" spans="2:39">
      <c r="AJ60" s="65" t="s">
        <v>794</v>
      </c>
      <c r="AK60" s="2" t="s">
        <v>253</v>
      </c>
      <c r="AL60" s="65" t="s">
        <v>135</v>
      </c>
      <c r="AM60" s="2" t="s">
        <v>253</v>
      </c>
    </row>
    <row r="61" spans="2:39">
      <c r="AJ61" s="65" t="s">
        <v>795</v>
      </c>
      <c r="AK61" s="2" t="s">
        <v>147</v>
      </c>
      <c r="AL61" s="65" t="s">
        <v>137</v>
      </c>
      <c r="AM61" s="2" t="s">
        <v>432</v>
      </c>
    </row>
    <row r="62" spans="2:39">
      <c r="AJ62" s="65" t="s">
        <v>796</v>
      </c>
      <c r="AK62" s="2" t="s">
        <v>148</v>
      </c>
      <c r="AL62" s="65" t="s">
        <v>137</v>
      </c>
      <c r="AM62" s="2" t="s">
        <v>432</v>
      </c>
    </row>
    <row r="63" spans="2:39">
      <c r="AJ63" s="65" t="s">
        <v>797</v>
      </c>
      <c r="AK63" s="2" t="s">
        <v>448</v>
      </c>
      <c r="AL63" s="65" t="s">
        <v>136</v>
      </c>
      <c r="AM63" s="2" t="s">
        <v>432</v>
      </c>
    </row>
    <row r="64" spans="2:39">
      <c r="AJ64" s="65" t="s">
        <v>798</v>
      </c>
      <c r="AK64" s="2" t="s">
        <v>452</v>
      </c>
      <c r="AL64" s="65" t="s">
        <v>136</v>
      </c>
      <c r="AM64" s="2" t="s">
        <v>432</v>
      </c>
    </row>
    <row r="65" spans="34:39">
      <c r="AJ65" s="65" t="s">
        <v>799</v>
      </c>
      <c r="AK65" s="2" t="s">
        <v>462</v>
      </c>
      <c r="AL65" s="65" t="s">
        <v>136</v>
      </c>
      <c r="AM65" s="2" t="s">
        <v>432</v>
      </c>
    </row>
    <row r="66" spans="34:39">
      <c r="AJ66" s="65" t="s">
        <v>800</v>
      </c>
      <c r="AK66" s="2" t="s">
        <v>466</v>
      </c>
      <c r="AL66" s="65" t="s">
        <v>139</v>
      </c>
      <c r="AM66" s="2" t="s">
        <v>254</v>
      </c>
    </row>
    <row r="67" spans="34:39">
      <c r="AJ67" s="65" t="s">
        <v>801</v>
      </c>
      <c r="AK67" s="2" t="s">
        <v>149</v>
      </c>
      <c r="AL67" s="65" t="s">
        <v>139</v>
      </c>
      <c r="AM67" s="2" t="s">
        <v>254</v>
      </c>
    </row>
    <row r="68" spans="34:39">
      <c r="AJ68" s="65" t="s">
        <v>802</v>
      </c>
      <c r="AK68" s="2" t="s">
        <v>477</v>
      </c>
      <c r="AL68" s="65" t="s">
        <v>138</v>
      </c>
      <c r="AM68" s="2" t="s">
        <v>254</v>
      </c>
    </row>
    <row r="69" spans="34:39">
      <c r="AJ69" s="65" t="s">
        <v>803</v>
      </c>
      <c r="AK69" s="2" t="s">
        <v>481</v>
      </c>
      <c r="AL69" s="65" t="s">
        <v>138</v>
      </c>
      <c r="AM69" s="2" t="s">
        <v>254</v>
      </c>
    </row>
    <row r="70" spans="34:39">
      <c r="AJ70" s="65" t="s">
        <v>804</v>
      </c>
      <c r="AK70" s="2" t="s">
        <v>150</v>
      </c>
      <c r="AL70" s="65" t="s">
        <v>138</v>
      </c>
      <c r="AM70" s="2" t="s">
        <v>254</v>
      </c>
    </row>
    <row r="71" spans="34:39">
      <c r="AJ71" s="65" t="s">
        <v>805</v>
      </c>
      <c r="AK71" s="2" t="s">
        <v>151</v>
      </c>
      <c r="AL71" s="65" t="s">
        <v>138</v>
      </c>
      <c r="AM71" s="2" t="s">
        <v>254</v>
      </c>
    </row>
    <row r="72" spans="34:39">
      <c r="AJ72" s="65" t="s">
        <v>806</v>
      </c>
      <c r="AK72" s="2" t="s">
        <v>599</v>
      </c>
      <c r="AL72" s="65" t="s">
        <v>138</v>
      </c>
      <c r="AM72" s="2" t="s">
        <v>254</v>
      </c>
    </row>
    <row r="73" spans="34:39">
      <c r="AJ73" s="65" t="s">
        <v>807</v>
      </c>
      <c r="AK73" s="2" t="s">
        <v>152</v>
      </c>
      <c r="AL73" s="65" t="s">
        <v>138</v>
      </c>
      <c r="AM73" s="2" t="s">
        <v>254</v>
      </c>
    </row>
    <row r="74" spans="34:39">
      <c r="AJ74" s="65" t="s">
        <v>808</v>
      </c>
      <c r="AK74" s="2" t="s">
        <v>153</v>
      </c>
      <c r="AL74" s="65" t="s">
        <v>138</v>
      </c>
      <c r="AM74" s="2" t="s">
        <v>254</v>
      </c>
    </row>
    <row r="75" spans="34:39">
      <c r="AJ75" s="65" t="s">
        <v>809</v>
      </c>
      <c r="AK75" s="2" t="s">
        <v>154</v>
      </c>
      <c r="AL75" s="65" t="s">
        <v>138</v>
      </c>
      <c r="AM75" s="2" t="s">
        <v>254</v>
      </c>
    </row>
    <row r="76" spans="34:39">
      <c r="AJ76" s="65" t="s">
        <v>810</v>
      </c>
      <c r="AK76" s="2" t="s">
        <v>155</v>
      </c>
      <c r="AL76" s="65" t="s">
        <v>138</v>
      </c>
      <c r="AM76" s="2" t="s">
        <v>254</v>
      </c>
    </row>
    <row r="77" spans="34:39">
      <c r="AJ77" s="65" t="s">
        <v>811</v>
      </c>
      <c r="AK77" s="2" t="s">
        <v>529</v>
      </c>
      <c r="AL77" s="65" t="s">
        <v>138</v>
      </c>
      <c r="AM77" s="2" t="s">
        <v>254</v>
      </c>
    </row>
    <row r="78" spans="34:39">
      <c r="AJ78" s="65" t="s">
        <v>812</v>
      </c>
      <c r="AK78" s="2" t="s">
        <v>535</v>
      </c>
      <c r="AL78" s="65" t="s">
        <v>138</v>
      </c>
      <c r="AM78" s="2" t="s">
        <v>254</v>
      </c>
    </row>
    <row r="79" spans="34:39">
      <c r="AJ79" s="65" t="s">
        <v>813</v>
      </c>
      <c r="AK79" s="2" t="s">
        <v>465</v>
      </c>
      <c r="AL79" s="65" t="s">
        <v>138</v>
      </c>
      <c r="AM79" s="2" t="s">
        <v>254</v>
      </c>
    </row>
    <row r="80" spans="34:39">
      <c r="AH80" s="2"/>
      <c r="AJ80" s="335" t="s">
        <v>910</v>
      </c>
      <c r="AK80" s="2" t="s">
        <v>844</v>
      </c>
      <c r="AL80" s="335" t="s">
        <v>903</v>
      </c>
      <c r="AM80" s="2" t="s">
        <v>909</v>
      </c>
    </row>
    <row r="81" spans="36:39">
      <c r="AJ81" s="335" t="s">
        <v>911</v>
      </c>
      <c r="AK81" s="2" t="s">
        <v>908</v>
      </c>
      <c r="AL81" s="335" t="s">
        <v>903</v>
      </c>
      <c r="AM81" s="333" t="s">
        <v>909</v>
      </c>
    </row>
    <row r="82" spans="36:39">
      <c r="AJ82" s="335" t="s">
        <v>912</v>
      </c>
      <c r="AK82" s="2" t="s">
        <v>858</v>
      </c>
      <c r="AL82" s="335" t="s">
        <v>903</v>
      </c>
      <c r="AM82" s="333" t="s">
        <v>909</v>
      </c>
    </row>
    <row r="83" spans="36:39">
      <c r="AJ83" s="335" t="s">
        <v>913</v>
      </c>
      <c r="AK83" s="2" t="s">
        <v>865</v>
      </c>
      <c r="AL83" s="335" t="s">
        <v>903</v>
      </c>
      <c r="AM83" s="333" t="s">
        <v>909</v>
      </c>
    </row>
    <row r="84" spans="36:39">
      <c r="AJ84" s="335" t="s">
        <v>914</v>
      </c>
      <c r="AK84" s="2" t="s">
        <v>870</v>
      </c>
      <c r="AL84" s="335" t="s">
        <v>903</v>
      </c>
      <c r="AM84" s="333" t="s">
        <v>909</v>
      </c>
    </row>
    <row r="85" spans="36:39">
      <c r="AJ85" s="335" t="s">
        <v>915</v>
      </c>
      <c r="AK85" s="2" t="s">
        <v>874</v>
      </c>
      <c r="AL85" s="335" t="s">
        <v>903</v>
      </c>
      <c r="AM85" s="333" t="s">
        <v>909</v>
      </c>
    </row>
    <row r="86" spans="36:39">
      <c r="AJ86" s="335" t="s">
        <v>916</v>
      </c>
      <c r="AK86" s="2" t="s">
        <v>878</v>
      </c>
      <c r="AL86" s="335" t="s">
        <v>903</v>
      </c>
      <c r="AM86" s="333" t="s">
        <v>909</v>
      </c>
    </row>
    <row r="87" spans="36:39">
      <c r="AJ87" s="335" t="s">
        <v>917</v>
      </c>
      <c r="AK87" s="2" t="s">
        <v>883</v>
      </c>
      <c r="AL87" s="335" t="s">
        <v>903</v>
      </c>
      <c r="AM87" s="333" t="s">
        <v>909</v>
      </c>
    </row>
    <row r="88" spans="36:39">
      <c r="AJ88" s="335" t="s">
        <v>918</v>
      </c>
      <c r="AK88" s="2" t="s">
        <v>887</v>
      </c>
      <c r="AL88" s="335" t="s">
        <v>903</v>
      </c>
      <c r="AM88" s="333" t="s">
        <v>909</v>
      </c>
    </row>
    <row r="89" spans="36:39">
      <c r="AJ89" s="335" t="s">
        <v>919</v>
      </c>
      <c r="AK89" s="2" t="s">
        <v>465</v>
      </c>
      <c r="AL89" s="335" t="s">
        <v>903</v>
      </c>
      <c r="AM89" s="333" t="s">
        <v>909</v>
      </c>
    </row>
    <row r="90" spans="36:39">
      <c r="AJ90" s="335" t="s">
        <v>920</v>
      </c>
      <c r="AK90" s="2" t="s">
        <v>921</v>
      </c>
      <c r="AL90" s="335" t="s">
        <v>904</v>
      </c>
      <c r="AM90" s="2" t="s">
        <v>907</v>
      </c>
    </row>
  </sheetData>
  <sheetProtection selectLockedCells="1"/>
  <mergeCells count="93">
    <mergeCell ref="A10:AC13"/>
    <mergeCell ref="R7:U7"/>
    <mergeCell ref="V7:W7"/>
    <mergeCell ref="F16:G16"/>
    <mergeCell ref="Y16:AC17"/>
    <mergeCell ref="C17:E17"/>
    <mergeCell ref="F17:J17"/>
    <mergeCell ref="A5:AC6"/>
    <mergeCell ref="M1:P2"/>
    <mergeCell ref="Q1:T2"/>
    <mergeCell ref="U1:X2"/>
    <mergeCell ref="Y1:AC2"/>
    <mergeCell ref="A1:D2"/>
    <mergeCell ref="C20:G20"/>
    <mergeCell ref="H20:AC20"/>
    <mergeCell ref="C26:E27"/>
    <mergeCell ref="F26:I26"/>
    <mergeCell ref="J26:AC26"/>
    <mergeCell ref="F27:I27"/>
    <mergeCell ref="J27:AC27"/>
    <mergeCell ref="C25:E25"/>
    <mergeCell ref="C21:G21"/>
    <mergeCell ref="H21:AC21"/>
    <mergeCell ref="C22:G22"/>
    <mergeCell ref="H22:I22"/>
    <mergeCell ref="T23:AC23"/>
    <mergeCell ref="H23:S23"/>
    <mergeCell ref="J22:O22"/>
    <mergeCell ref="P22:Q22"/>
    <mergeCell ref="R22:AC22"/>
    <mergeCell ref="C23:G23"/>
    <mergeCell ref="C30:G31"/>
    <mergeCell ref="H30:K30"/>
    <mergeCell ref="L30:AC30"/>
    <mergeCell ref="H31:K31"/>
    <mergeCell ref="L31:AC31"/>
    <mergeCell ref="C29:E29"/>
    <mergeCell ref="F29:O29"/>
    <mergeCell ref="P29:R29"/>
    <mergeCell ref="S29:AC29"/>
    <mergeCell ref="C28:I28"/>
    <mergeCell ref="J28:AC28"/>
    <mergeCell ref="Z25:AC25"/>
    <mergeCell ref="T25:X25"/>
    <mergeCell ref="N25:S25"/>
    <mergeCell ref="I47:J47"/>
    <mergeCell ref="K47:L47"/>
    <mergeCell ref="M47:R47"/>
    <mergeCell ref="S47:T47"/>
    <mergeCell ref="V37:AC37"/>
    <mergeCell ref="T38:U38"/>
    <mergeCell ref="V38:AC38"/>
    <mergeCell ref="K39:L39"/>
    <mergeCell ref="M39:S39"/>
    <mergeCell ref="T39:U39"/>
    <mergeCell ref="V39:AC39"/>
    <mergeCell ref="K38:L38"/>
    <mergeCell ref="M38:S38"/>
    <mergeCell ref="I45:J45"/>
    <mergeCell ref="K45:L45"/>
    <mergeCell ref="I46:J46"/>
    <mergeCell ref="K46:L46"/>
    <mergeCell ref="M46:R46"/>
    <mergeCell ref="I43:J44"/>
    <mergeCell ref="K43:R43"/>
    <mergeCell ref="S43:AC43"/>
    <mergeCell ref="K44:L44"/>
    <mergeCell ref="M44:R44"/>
    <mergeCell ref="S44:T44"/>
    <mergeCell ref="U44:AC44"/>
    <mergeCell ref="M41:S41"/>
    <mergeCell ref="U47:AC47"/>
    <mergeCell ref="M45:R45"/>
    <mergeCell ref="S45:T45"/>
    <mergeCell ref="U45:AC45"/>
    <mergeCell ref="S46:T46"/>
    <mergeCell ref="U46:AC46"/>
    <mergeCell ref="C43:H47"/>
    <mergeCell ref="F25:M25"/>
    <mergeCell ref="C35:J41"/>
    <mergeCell ref="K35:AC35"/>
    <mergeCell ref="K36:L36"/>
    <mergeCell ref="M36:S36"/>
    <mergeCell ref="T36:U36"/>
    <mergeCell ref="V36:AB36"/>
    <mergeCell ref="K37:L37"/>
    <mergeCell ref="M37:S37"/>
    <mergeCell ref="T37:U37"/>
    <mergeCell ref="K40:L40"/>
    <mergeCell ref="M40:S40"/>
    <mergeCell ref="T40:U40"/>
    <mergeCell ref="V40:AC40"/>
    <mergeCell ref="K41:L41"/>
  </mergeCells>
  <phoneticPr fontId="2"/>
  <conditionalFormatting sqref="I50:J51 L50:L51 AB14 K42:L42 P22 AB8 T41:U41 O19:U19 M50:AC50 M51:AD51 W19:Z19">
    <cfRule type="cellIs" dxfId="313" priority="11" stopIfTrue="1" operator="notEqual">
      <formula>""</formula>
    </cfRule>
  </conditionalFormatting>
  <conditionalFormatting sqref="F25 J27 S29 F29">
    <cfRule type="cellIs" dxfId="312" priority="12" stopIfTrue="1" operator="notEqual">
      <formula>""</formula>
    </cfRule>
  </conditionalFormatting>
  <conditionalFormatting sqref="H20:H21 J22 R22 H23 L31">
    <cfRule type="cellIs" dxfId="311" priority="13" stopIfTrue="1" operator="notEqual">
      <formula>""</formula>
    </cfRule>
  </conditionalFormatting>
  <conditionalFormatting sqref="K37:L41 T37:U40">
    <cfRule type="cellIs" dxfId="310" priority="10" operator="notEqual">
      <formula>""</formula>
    </cfRule>
  </conditionalFormatting>
  <conditionalFormatting sqref="S45:T47">
    <cfRule type="cellIs" dxfId="309" priority="9" operator="notEqual">
      <formula>""</formula>
    </cfRule>
  </conditionalFormatting>
  <conditionalFormatting sqref="C17:E17 Z7 T25">
    <cfRule type="expression" dxfId="308" priority="8">
      <formula>C7&lt;&gt;""</formula>
    </cfRule>
  </conditionalFormatting>
  <conditionalFormatting sqref="X7">
    <cfRule type="expression" dxfId="307" priority="7">
      <formula>X7&lt;&gt;""</formula>
    </cfRule>
  </conditionalFormatting>
  <conditionalFormatting sqref="AB7">
    <cfRule type="expression" dxfId="306" priority="6">
      <formula>AB7&lt;&gt;""</formula>
    </cfRule>
  </conditionalFormatting>
  <conditionalFormatting sqref="J28">
    <cfRule type="cellIs" dxfId="305" priority="3" stopIfTrue="1" operator="notEqual">
      <formula>""</formula>
    </cfRule>
  </conditionalFormatting>
  <conditionalFormatting sqref="L30">
    <cfRule type="cellIs" dxfId="304" priority="2" stopIfTrue="1" operator="notEqual">
      <formula>""</formula>
    </cfRule>
  </conditionalFormatting>
  <conditionalFormatting sqref="F27">
    <cfRule type="cellIs" dxfId="303" priority="1" stopIfTrue="1" operator="notEqual">
      <formula>""</formula>
    </cfRule>
  </conditionalFormatting>
  <dataValidations count="17">
    <dataValidation type="custom" imeMode="on" allowBlank="1" showInputMessage="1" showErrorMessage="1" error="全角で入力してください。" sqref="R22:AC22" xr:uid="{00000000-0002-0000-0000-000000000000}">
      <formula1>R22=DBCS(R22)</formula1>
    </dataValidation>
    <dataValidation type="custom" imeMode="on" allowBlank="1" showInputMessage="1" showErrorMessage="1" errorTitle="商号又は名称" error="すべて全角で入力してください。" sqref="H21:AC21" xr:uid="{00000000-0002-0000-0000-000001000000}">
      <formula1>H21=DBCS(H21)</formula1>
    </dataValidation>
    <dataValidation type="custom" imeMode="hiragana" allowBlank="1" showInputMessage="1" showErrorMessage="1" errorTitle="ふりがな" error="・全角ひらがなで入力してください。" sqref="H20:AC20" xr:uid="{00000000-0002-0000-0000-000002000000}">
      <formula1>H20=DBCS(H20)</formula1>
    </dataValidation>
    <dataValidation imeMode="disabled" allowBlank="1" showInputMessage="1" showErrorMessage="1" sqref="AB7 X7 Z7 F29:O29 S29:AC29 L31:AC31" xr:uid="{00000000-0002-0000-0000-000003000000}"/>
    <dataValidation type="list" allowBlank="1" showInputMessage="1" showErrorMessage="1" sqref="C17:E17" xr:uid="{00000000-0002-0000-0000-000004000000}">
      <formula1>$AH$1:$AH$2</formula1>
    </dataValidation>
    <dataValidation imeMode="on" allowBlank="1" showInputMessage="1" showErrorMessage="1" sqref="J22:O22" xr:uid="{00000000-0002-0000-0000-000006000000}"/>
    <dataValidation type="textLength" imeMode="disabled" operator="equal" allowBlank="1" showInputMessage="1" showErrorMessage="1" error="以下を確認してください。_x000a_・郵便番号は７桁です。_x000a_・ハイフンで区切ってください。" sqref="F25:M25" xr:uid="{00000000-0002-0000-0000-000007000000}">
      <formula1>8</formula1>
    </dataValidation>
    <dataValidation imeMode="off" allowBlank="1" showInputMessage="1" showErrorMessage="1" sqref="J26" xr:uid="{00000000-0002-0000-0000-000008000000}"/>
    <dataValidation type="list" imeMode="off" allowBlank="1" showInputMessage="1" showErrorMessage="1" prompt="右のボタンを押し、リストからコードを選択してください。_x000a_ひとつおいて右のセルに大分類の名称が表示されます。_x000a_クリアする場合はBackspaceキーでクリアしてください。_x000a_" sqref="K42:L42 T41:U41" xr:uid="{00000000-0002-0000-0000-000009000000}">
      <formula1>#REF!</formula1>
    </dataValidation>
    <dataValidation type="list" imeMode="disabled" operator="equal" allowBlank="1" showInputMessage="1" showErrorMessage="1" error="・ハイフンは入力しないでください。_x000a_・桁数（７桁）を確認してください。" sqref="T25" xr:uid="{00000000-0002-0000-0000-00000A000000}">
      <formula1>$AH$3:$AH$33</formula1>
    </dataValidation>
    <dataValidation type="list" allowBlank="1" showErrorMessage="1" prompt="右のボタンから希望する中分類コードを選択してください。_x000a_自動で左側のセルに該当する大分類コード及び種目名、右のセルに中分類の種目名が表示されます。" sqref="S45:T47" xr:uid="{00000000-0002-0000-0000-00000B000000}">
      <formula1>$AJ$35:$AJ$90</formula1>
    </dataValidation>
    <dataValidation type="list" imeMode="off" allowBlank="1" showErrorMessage="1" prompt="右のボタンから希望する大分類コードを選択してください。_x000a_右のセルに大分類の種目名が表示されます。_x000a_" sqref="T37:U40 K37:L41" xr:uid="{00000000-0002-0000-0000-00000C000000}">
      <formula1>$AH$35:$AH$45</formula1>
    </dataValidation>
    <dataValidation type="textLength" imeMode="disabled" operator="equal" allowBlank="1" showInputMessage="1" showErrorMessage="1" errorTitle="法人番号" error="法人番号は13桁で入力してください。" sqref="H23:S23" xr:uid="{00000000-0002-0000-0000-00000E000000}">
      <formula1>13</formula1>
    </dataValidation>
    <dataValidation type="custom" imeMode="on" allowBlank="1" showInputMessage="1" showErrorMessage="1" errorTitle="住所" error="すべて全角で入力してください。" sqref="J27:AC27" xr:uid="{00000000-0002-0000-0000-00000F000000}">
      <formula1>J27=DBCS(J27)</formula1>
    </dataValidation>
    <dataValidation imeMode="on" allowBlank="1" showInputMessage="1" errorTitle="住所" error="すべて全角で入力してください。" sqref="J28:AC28" xr:uid="{00000000-0002-0000-0000-000010000000}"/>
    <dataValidation type="custom" imeMode="on" allowBlank="1" showInputMessage="1" showErrorMessage="1" error="すべて全角で入力してください。" sqref="L30:AC30" xr:uid="{314AC1A6-BE72-4C43-8AD5-43C47277CB08}">
      <formula1>L30=DBCS(L30)</formula1>
    </dataValidation>
    <dataValidation type="textLength" imeMode="on" operator="greaterThanOrEqual" allowBlank="1" showInputMessage="1" showErrorMessage="1" error="「都」「道」「府」「県」まで記入してください。_x000a_【良い例】新潟県_x000a_【悪い例】新潟" sqref="F27:I27" xr:uid="{9193793C-28A0-4B29-B83C-402414D8ECAD}">
      <formula1>3</formula1>
    </dataValidation>
  </dataValidations>
  <pageMargins left="0.78740157480314965" right="0.59055118110236227" top="0.78740157480314965" bottom="0.39370078740157483" header="0.51181102362204722" footer="0.51181102362204722"/>
  <pageSetup paperSize="9"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L135"/>
  <sheetViews>
    <sheetView showGridLines="0" showZeros="0" view="pageBreakPreview" zoomScaleNormal="100" zoomScaleSheetLayoutView="100" workbookViewId="0">
      <selection activeCell="A10" sqref="A10:AD13"/>
    </sheetView>
  </sheetViews>
  <sheetFormatPr defaultColWidth="2.875" defaultRowHeight="18.75" customHeight="1"/>
  <cols>
    <col min="1" max="1" width="3.25" style="2" customWidth="1"/>
    <col min="2" max="3" width="2.875" style="2" customWidth="1"/>
    <col min="4" max="4" width="3.875" style="2" customWidth="1"/>
    <col min="5" max="5" width="1.875" style="2" customWidth="1"/>
    <col min="6" max="31" width="2.875" style="2" customWidth="1"/>
    <col min="32" max="32" width="17.25" style="295" hidden="1" customWidth="1"/>
    <col min="33" max="33" width="2.875" style="2" hidden="1" customWidth="1"/>
    <col min="34" max="38" width="0.375" style="2" hidden="1" customWidth="1"/>
    <col min="39" max="39" width="2.875" style="25" hidden="1" customWidth="1"/>
    <col min="40" max="40" width="16.25" style="134" hidden="1" customWidth="1"/>
    <col min="41" max="41" width="4.5" style="134" hidden="1" customWidth="1"/>
    <col min="42" max="42" width="2.875" style="2" hidden="1" customWidth="1"/>
    <col min="43" max="49" width="2.875" style="2" customWidth="1"/>
    <col min="50" max="50" width="2.875" style="2" hidden="1" customWidth="1"/>
    <col min="51" max="52" width="2.875" style="2" customWidth="1"/>
    <col min="53" max="16384" width="2.875" style="2"/>
  </cols>
  <sheetData>
    <row r="1" spans="1:64" ht="18.75" customHeight="1">
      <c r="A1" s="1" t="s">
        <v>89</v>
      </c>
      <c r="Q1" s="2" t="str">
        <f>IF(第１号様式!$H$21="","",第１号様式!$H$21)</f>
        <v/>
      </c>
      <c r="AN1" s="25"/>
      <c r="AO1" s="25"/>
    </row>
    <row r="2" spans="1:64" ht="9.9499999999999993" customHeight="1">
      <c r="A2" s="650" t="s">
        <v>544</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N2" s="25"/>
      <c r="AO2" s="25"/>
    </row>
    <row r="3" spans="1:64" ht="18.75" customHeight="1" thickBot="1">
      <c r="A3" s="650"/>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N3" s="25"/>
      <c r="AO3" s="25"/>
    </row>
    <row r="4" spans="1:64" ht="16.5" customHeight="1">
      <c r="A4" s="643" t="s">
        <v>725</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5"/>
      <c r="AN4" s="25"/>
      <c r="AO4" s="25"/>
    </row>
    <row r="5" spans="1:64" ht="16.5" customHeight="1">
      <c r="A5" s="646"/>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8"/>
      <c r="AF5" s="294"/>
      <c r="AN5" s="25"/>
      <c r="AO5" s="25"/>
      <c r="AR5" s="115"/>
      <c r="AS5" s="115"/>
      <c r="AT5" s="115"/>
      <c r="AU5" s="115"/>
      <c r="AV5" s="115"/>
      <c r="AW5" s="115"/>
      <c r="AX5" s="115"/>
      <c r="AY5" s="115"/>
      <c r="AZ5" s="115"/>
      <c r="BA5" s="115"/>
      <c r="BB5" s="115"/>
      <c r="BC5" s="115"/>
      <c r="BD5" s="115"/>
      <c r="BE5" s="115"/>
      <c r="BF5" s="115"/>
      <c r="BG5" s="115"/>
      <c r="BH5" s="115"/>
      <c r="BI5" s="115"/>
      <c r="BJ5" s="115"/>
      <c r="BK5" s="115"/>
      <c r="BL5" s="115"/>
    </row>
    <row r="6" spans="1:64" ht="18.75" customHeight="1">
      <c r="A6" s="514" t="s">
        <v>90</v>
      </c>
      <c r="B6" s="515"/>
      <c r="C6" s="515"/>
      <c r="D6" s="515"/>
      <c r="E6" s="515"/>
      <c r="F6" s="515"/>
      <c r="G6" s="515"/>
      <c r="H6" s="515"/>
      <c r="I6" s="515"/>
      <c r="J6" s="515"/>
      <c r="K6" s="652"/>
      <c r="L6" s="653"/>
      <c r="M6" s="502" t="s">
        <v>542</v>
      </c>
      <c r="N6" s="651"/>
      <c r="O6" s="651"/>
      <c r="P6" s="651"/>
      <c r="Q6" s="651"/>
      <c r="R6" s="651"/>
      <c r="S6" s="652"/>
      <c r="T6" s="652"/>
      <c r="U6" s="653"/>
      <c r="V6" s="654" t="s">
        <v>735</v>
      </c>
      <c r="W6" s="655"/>
      <c r="X6" s="655"/>
      <c r="Y6" s="655"/>
      <c r="Z6" s="655"/>
      <c r="AA6" s="655"/>
      <c r="AB6" s="655"/>
      <c r="AC6" s="655"/>
      <c r="AD6" s="656"/>
      <c r="AN6" s="116" t="s">
        <v>158</v>
      </c>
      <c r="AO6" s="116" t="s">
        <v>157</v>
      </c>
      <c r="AR6" s="115"/>
      <c r="AS6" s="115"/>
      <c r="AT6" s="115"/>
      <c r="AU6" s="47"/>
      <c r="AV6" s="47"/>
      <c r="AW6" s="47"/>
      <c r="AX6" s="47"/>
      <c r="AY6" s="47"/>
      <c r="AZ6" s="47"/>
      <c r="BA6" s="47"/>
      <c r="BB6" s="47"/>
      <c r="BC6" s="47"/>
      <c r="BD6" s="47"/>
      <c r="BE6" s="47"/>
      <c r="BF6" s="115"/>
      <c r="BG6" s="115"/>
      <c r="BH6" s="115"/>
      <c r="BI6" s="115"/>
      <c r="BJ6" s="115"/>
      <c r="BK6" s="115"/>
      <c r="BL6" s="115"/>
    </row>
    <row r="7" spans="1:64" ht="17.100000000000001" customHeight="1">
      <c r="A7" s="117">
        <v>1</v>
      </c>
      <c r="B7" s="628"/>
      <c r="C7" s="628"/>
      <c r="D7" s="628"/>
      <c r="E7" s="628"/>
      <c r="F7" s="628"/>
      <c r="G7" s="628"/>
      <c r="H7" s="628"/>
      <c r="I7" s="628"/>
      <c r="J7" s="628"/>
      <c r="K7" s="629"/>
      <c r="L7" s="629"/>
      <c r="M7" s="626"/>
      <c r="N7" s="627"/>
      <c r="O7" s="627"/>
      <c r="P7" s="627"/>
      <c r="Q7" s="627"/>
      <c r="R7" s="515" t="str">
        <f>IF(M7="","",VLOOKUP(M7,$AN$6:$AO$35,2,FALSE))</f>
        <v/>
      </c>
      <c r="S7" s="515"/>
      <c r="T7" s="515"/>
      <c r="U7" s="534"/>
      <c r="V7" s="634"/>
      <c r="W7" s="635"/>
      <c r="X7" s="635"/>
      <c r="Y7" s="635"/>
      <c r="Z7" s="635"/>
      <c r="AA7" s="635"/>
      <c r="AB7" s="635"/>
      <c r="AC7" s="635"/>
      <c r="AD7" s="636"/>
      <c r="AN7" s="116" t="s">
        <v>160</v>
      </c>
      <c r="AO7" s="116" t="s">
        <v>159</v>
      </c>
      <c r="AR7" s="115"/>
      <c r="AS7" s="115"/>
      <c r="AT7" s="115"/>
      <c r="AU7" s="47"/>
      <c r="AV7" s="47"/>
      <c r="AW7" s="47"/>
      <c r="AX7" s="47"/>
      <c r="AY7" s="47"/>
      <c r="AZ7" s="47"/>
      <c r="BA7" s="47"/>
      <c r="BB7" s="47"/>
      <c r="BC7" s="47"/>
      <c r="BD7" s="47"/>
      <c r="BE7" s="47"/>
      <c r="BF7" s="115"/>
      <c r="BG7" s="115"/>
      <c r="BH7" s="115"/>
      <c r="BI7" s="115"/>
      <c r="BJ7" s="115"/>
      <c r="BK7" s="115"/>
      <c r="BL7" s="115"/>
    </row>
    <row r="8" spans="1:64" ht="17.100000000000001" customHeight="1">
      <c r="A8" s="117">
        <v>2</v>
      </c>
      <c r="B8" s="628"/>
      <c r="C8" s="628"/>
      <c r="D8" s="628"/>
      <c r="E8" s="628"/>
      <c r="F8" s="628"/>
      <c r="G8" s="628"/>
      <c r="H8" s="628"/>
      <c r="I8" s="628"/>
      <c r="J8" s="628"/>
      <c r="K8" s="629"/>
      <c r="L8" s="629"/>
      <c r="M8" s="626"/>
      <c r="N8" s="627"/>
      <c r="O8" s="627"/>
      <c r="P8" s="627"/>
      <c r="Q8" s="627"/>
      <c r="R8" s="515" t="str">
        <f t="shared" ref="R8:R16" si="0">IF(M8="","",VLOOKUP(M8,$AN$6:$AO$35,2,FALSE))</f>
        <v/>
      </c>
      <c r="S8" s="515"/>
      <c r="T8" s="515"/>
      <c r="U8" s="534"/>
      <c r="V8" s="634"/>
      <c r="W8" s="635"/>
      <c r="X8" s="635"/>
      <c r="Y8" s="635"/>
      <c r="Z8" s="635"/>
      <c r="AA8" s="635"/>
      <c r="AB8" s="635"/>
      <c r="AC8" s="635"/>
      <c r="AD8" s="636"/>
      <c r="AN8" s="116" t="s">
        <v>162</v>
      </c>
      <c r="AO8" s="116" t="s">
        <v>161</v>
      </c>
      <c r="AR8" s="115"/>
      <c r="AS8" s="115"/>
      <c r="AT8" s="115"/>
      <c r="AU8" s="47"/>
      <c r="AV8" s="47"/>
      <c r="AW8" s="47"/>
      <c r="AX8" s="47"/>
      <c r="AY8" s="47"/>
      <c r="AZ8" s="47"/>
      <c r="BA8" s="47"/>
      <c r="BB8" s="47"/>
      <c r="BC8" s="47"/>
      <c r="BD8" s="47"/>
      <c r="BE8" s="47"/>
      <c r="BF8" s="115"/>
      <c r="BG8" s="115"/>
      <c r="BH8" s="115"/>
      <c r="BI8" s="115"/>
      <c r="BJ8" s="115"/>
      <c r="BK8" s="115"/>
      <c r="BL8" s="115"/>
    </row>
    <row r="9" spans="1:64" ht="17.100000000000001" customHeight="1">
      <c r="A9" s="117">
        <v>3</v>
      </c>
      <c r="B9" s="628"/>
      <c r="C9" s="628"/>
      <c r="D9" s="628"/>
      <c r="E9" s="628"/>
      <c r="F9" s="628"/>
      <c r="G9" s="628"/>
      <c r="H9" s="628"/>
      <c r="I9" s="628"/>
      <c r="J9" s="628"/>
      <c r="K9" s="629"/>
      <c r="L9" s="629"/>
      <c r="M9" s="626"/>
      <c r="N9" s="627"/>
      <c r="O9" s="627"/>
      <c r="P9" s="627"/>
      <c r="Q9" s="627"/>
      <c r="R9" s="515" t="str">
        <f t="shared" si="0"/>
        <v/>
      </c>
      <c r="S9" s="515"/>
      <c r="T9" s="515"/>
      <c r="U9" s="534"/>
      <c r="V9" s="634"/>
      <c r="W9" s="635"/>
      <c r="X9" s="635"/>
      <c r="Y9" s="635"/>
      <c r="Z9" s="635"/>
      <c r="AA9" s="635"/>
      <c r="AB9" s="635"/>
      <c r="AC9" s="635"/>
      <c r="AD9" s="636"/>
      <c r="AN9" s="116" t="s">
        <v>164</v>
      </c>
      <c r="AO9" s="116" t="s">
        <v>163</v>
      </c>
      <c r="AR9" s="115"/>
      <c r="AS9" s="115"/>
      <c r="AT9" s="115"/>
      <c r="AU9" s="47"/>
      <c r="AV9" s="47"/>
      <c r="AW9" s="47"/>
      <c r="AX9" s="47"/>
      <c r="AY9" s="47"/>
      <c r="AZ9" s="47"/>
      <c r="BA9" s="47"/>
      <c r="BB9" s="47"/>
      <c r="BC9" s="47"/>
      <c r="BD9" s="47"/>
      <c r="BE9" s="47"/>
      <c r="BF9" s="115"/>
      <c r="BG9" s="115"/>
      <c r="BH9" s="115"/>
      <c r="BI9" s="115"/>
      <c r="BJ9" s="115"/>
      <c r="BK9" s="115"/>
      <c r="BL9" s="115"/>
    </row>
    <row r="10" spans="1:64" ht="17.100000000000001" customHeight="1">
      <c r="A10" s="117">
        <v>4</v>
      </c>
      <c r="B10" s="628"/>
      <c r="C10" s="628"/>
      <c r="D10" s="628"/>
      <c r="E10" s="628"/>
      <c r="F10" s="628"/>
      <c r="G10" s="628"/>
      <c r="H10" s="628"/>
      <c r="I10" s="628"/>
      <c r="J10" s="628"/>
      <c r="K10" s="629"/>
      <c r="L10" s="629"/>
      <c r="M10" s="626"/>
      <c r="N10" s="627"/>
      <c r="O10" s="627"/>
      <c r="P10" s="627"/>
      <c r="Q10" s="627"/>
      <c r="R10" s="515" t="str">
        <f t="shared" si="0"/>
        <v/>
      </c>
      <c r="S10" s="515"/>
      <c r="T10" s="515"/>
      <c r="U10" s="534"/>
      <c r="V10" s="634"/>
      <c r="W10" s="635"/>
      <c r="X10" s="635"/>
      <c r="Y10" s="635"/>
      <c r="Z10" s="635"/>
      <c r="AA10" s="635"/>
      <c r="AB10" s="635"/>
      <c r="AC10" s="635"/>
      <c r="AD10" s="636"/>
      <c r="AN10" s="116" t="s">
        <v>166</v>
      </c>
      <c r="AO10" s="116" t="s">
        <v>165</v>
      </c>
      <c r="AR10" s="115"/>
      <c r="AS10" s="115"/>
      <c r="AT10" s="115"/>
      <c r="AU10" s="47"/>
      <c r="AV10" s="47"/>
      <c r="AW10" s="47"/>
      <c r="AX10" s="47"/>
      <c r="AY10" s="47"/>
      <c r="AZ10" s="47"/>
      <c r="BA10" s="47"/>
      <c r="BB10" s="47"/>
      <c r="BC10" s="47"/>
      <c r="BD10" s="47"/>
      <c r="BE10" s="47"/>
      <c r="BF10" s="115"/>
      <c r="BG10" s="115"/>
      <c r="BH10" s="115"/>
      <c r="BI10" s="115"/>
      <c r="BJ10" s="115"/>
      <c r="BK10" s="115"/>
      <c r="BL10" s="115"/>
    </row>
    <row r="11" spans="1:64" ht="17.100000000000001" customHeight="1">
      <c r="A11" s="117">
        <v>5</v>
      </c>
      <c r="B11" s="628"/>
      <c r="C11" s="628"/>
      <c r="D11" s="628"/>
      <c r="E11" s="628"/>
      <c r="F11" s="628"/>
      <c r="G11" s="628"/>
      <c r="H11" s="628"/>
      <c r="I11" s="628"/>
      <c r="J11" s="628"/>
      <c r="K11" s="629"/>
      <c r="L11" s="629"/>
      <c r="M11" s="626"/>
      <c r="N11" s="627"/>
      <c r="O11" s="627"/>
      <c r="P11" s="627"/>
      <c r="Q11" s="627"/>
      <c r="R11" s="515" t="str">
        <f t="shared" si="0"/>
        <v/>
      </c>
      <c r="S11" s="515"/>
      <c r="T11" s="515"/>
      <c r="U11" s="534"/>
      <c r="V11" s="634"/>
      <c r="W11" s="635"/>
      <c r="X11" s="635"/>
      <c r="Y11" s="635"/>
      <c r="Z11" s="635"/>
      <c r="AA11" s="635"/>
      <c r="AB11" s="635"/>
      <c r="AC11" s="635"/>
      <c r="AD11" s="636"/>
      <c r="AN11" s="116" t="s">
        <v>168</v>
      </c>
      <c r="AO11" s="116" t="s">
        <v>167</v>
      </c>
      <c r="AR11" s="115"/>
      <c r="AS11" s="115"/>
      <c r="AT11" s="115"/>
      <c r="AU11" s="47"/>
      <c r="AV11" s="47"/>
      <c r="AW11" s="47"/>
      <c r="AX11" s="47"/>
      <c r="AY11" s="47"/>
      <c r="AZ11" s="47"/>
      <c r="BA11" s="47"/>
      <c r="BB11" s="47"/>
      <c r="BC11" s="47"/>
      <c r="BD11" s="47"/>
      <c r="BE11" s="47"/>
      <c r="BF11" s="115"/>
      <c r="BG11" s="115"/>
      <c r="BH11" s="115"/>
      <c r="BI11" s="115"/>
      <c r="BJ11" s="115"/>
      <c r="BK11" s="115"/>
      <c r="BL11" s="115"/>
    </row>
    <row r="12" spans="1:64" ht="17.100000000000001" customHeight="1">
      <c r="A12" s="117">
        <v>6</v>
      </c>
      <c r="B12" s="628"/>
      <c r="C12" s="628"/>
      <c r="D12" s="628"/>
      <c r="E12" s="628"/>
      <c r="F12" s="628"/>
      <c r="G12" s="628"/>
      <c r="H12" s="628"/>
      <c r="I12" s="628"/>
      <c r="J12" s="628"/>
      <c r="K12" s="629"/>
      <c r="L12" s="629"/>
      <c r="M12" s="626"/>
      <c r="N12" s="627"/>
      <c r="O12" s="627"/>
      <c r="P12" s="627"/>
      <c r="Q12" s="627"/>
      <c r="R12" s="515" t="str">
        <f t="shared" si="0"/>
        <v/>
      </c>
      <c r="S12" s="515"/>
      <c r="T12" s="515"/>
      <c r="U12" s="534"/>
      <c r="V12" s="634"/>
      <c r="W12" s="635"/>
      <c r="X12" s="635"/>
      <c r="Y12" s="635"/>
      <c r="Z12" s="635"/>
      <c r="AA12" s="635"/>
      <c r="AB12" s="635"/>
      <c r="AC12" s="635"/>
      <c r="AD12" s="636"/>
      <c r="AN12" s="116" t="s">
        <v>170</v>
      </c>
      <c r="AO12" s="116" t="s">
        <v>169</v>
      </c>
      <c r="AR12" s="115"/>
      <c r="AS12" s="115"/>
      <c r="AT12" s="115"/>
      <c r="AU12" s="47"/>
      <c r="AV12" s="47"/>
      <c r="AW12" s="47"/>
      <c r="AX12" s="47"/>
      <c r="AY12" s="47"/>
      <c r="AZ12" s="47"/>
      <c r="BA12" s="47"/>
      <c r="BB12" s="47"/>
      <c r="BC12" s="47"/>
      <c r="BD12" s="47"/>
      <c r="BE12" s="47"/>
      <c r="BF12" s="115"/>
      <c r="BG12" s="115"/>
      <c r="BH12" s="115"/>
      <c r="BI12" s="115"/>
      <c r="BJ12" s="115"/>
      <c r="BK12" s="115"/>
      <c r="BL12" s="115"/>
    </row>
    <row r="13" spans="1:64" ht="17.100000000000001" customHeight="1">
      <c r="A13" s="117">
        <v>7</v>
      </c>
      <c r="B13" s="628"/>
      <c r="C13" s="628"/>
      <c r="D13" s="628"/>
      <c r="E13" s="628"/>
      <c r="F13" s="628"/>
      <c r="G13" s="628"/>
      <c r="H13" s="628"/>
      <c r="I13" s="628"/>
      <c r="J13" s="628"/>
      <c r="K13" s="629"/>
      <c r="L13" s="629"/>
      <c r="M13" s="626"/>
      <c r="N13" s="627"/>
      <c r="O13" s="627"/>
      <c r="P13" s="627"/>
      <c r="Q13" s="627"/>
      <c r="R13" s="515" t="str">
        <f t="shared" si="0"/>
        <v/>
      </c>
      <c r="S13" s="515"/>
      <c r="T13" s="515"/>
      <c r="U13" s="534"/>
      <c r="V13" s="634"/>
      <c r="W13" s="635"/>
      <c r="X13" s="635"/>
      <c r="Y13" s="635"/>
      <c r="Z13" s="635"/>
      <c r="AA13" s="635"/>
      <c r="AB13" s="635"/>
      <c r="AC13" s="635"/>
      <c r="AD13" s="636"/>
      <c r="AN13" s="116" t="s">
        <v>172</v>
      </c>
      <c r="AO13" s="116" t="s">
        <v>171</v>
      </c>
      <c r="AR13" s="115"/>
      <c r="AS13" s="115"/>
      <c r="AT13" s="115"/>
      <c r="AU13" s="47"/>
      <c r="AV13" s="47"/>
      <c r="AW13" s="47"/>
      <c r="AX13" s="47"/>
      <c r="AY13" s="47"/>
      <c r="AZ13" s="47"/>
      <c r="BA13" s="47"/>
      <c r="BB13" s="47"/>
      <c r="BC13" s="47"/>
      <c r="BD13" s="47"/>
      <c r="BE13" s="47"/>
      <c r="BF13" s="115"/>
      <c r="BG13" s="115"/>
      <c r="BH13" s="115"/>
      <c r="BI13" s="115"/>
      <c r="BJ13" s="115"/>
      <c r="BK13" s="115"/>
      <c r="BL13" s="115"/>
    </row>
    <row r="14" spans="1:64" ht="17.100000000000001" customHeight="1">
      <c r="A14" s="117">
        <v>8</v>
      </c>
      <c r="B14" s="628"/>
      <c r="C14" s="628"/>
      <c r="D14" s="628"/>
      <c r="E14" s="628"/>
      <c r="F14" s="628"/>
      <c r="G14" s="628"/>
      <c r="H14" s="628"/>
      <c r="I14" s="628"/>
      <c r="J14" s="628"/>
      <c r="K14" s="629"/>
      <c r="L14" s="629"/>
      <c r="M14" s="626"/>
      <c r="N14" s="627"/>
      <c r="O14" s="627"/>
      <c r="P14" s="627"/>
      <c r="Q14" s="627"/>
      <c r="R14" s="515" t="str">
        <f t="shared" si="0"/>
        <v/>
      </c>
      <c r="S14" s="515"/>
      <c r="T14" s="515"/>
      <c r="U14" s="534"/>
      <c r="V14" s="634"/>
      <c r="W14" s="635"/>
      <c r="X14" s="635"/>
      <c r="Y14" s="635"/>
      <c r="Z14" s="635"/>
      <c r="AA14" s="635"/>
      <c r="AB14" s="635"/>
      <c r="AC14" s="635"/>
      <c r="AD14" s="636"/>
      <c r="AN14" s="116" t="s">
        <v>174</v>
      </c>
      <c r="AO14" s="116" t="s">
        <v>173</v>
      </c>
      <c r="AR14" s="115"/>
      <c r="AS14" s="115"/>
      <c r="AT14" s="115"/>
      <c r="AU14" s="47"/>
      <c r="AV14" s="47"/>
      <c r="AW14" s="47"/>
      <c r="AX14" s="47"/>
      <c r="AY14" s="47"/>
      <c r="AZ14" s="47"/>
      <c r="BA14" s="47"/>
      <c r="BB14" s="47"/>
      <c r="BC14" s="47"/>
      <c r="BD14" s="47"/>
      <c r="BE14" s="47"/>
      <c r="BF14" s="115"/>
      <c r="BG14" s="115"/>
      <c r="BH14" s="115"/>
      <c r="BI14" s="115"/>
      <c r="BJ14" s="115"/>
      <c r="BK14" s="115"/>
      <c r="BL14" s="115"/>
    </row>
    <row r="15" spans="1:64" ht="17.100000000000001" customHeight="1">
      <c r="A15" s="117">
        <v>9</v>
      </c>
      <c r="B15" s="628"/>
      <c r="C15" s="628"/>
      <c r="D15" s="628"/>
      <c r="E15" s="628"/>
      <c r="F15" s="628"/>
      <c r="G15" s="628"/>
      <c r="H15" s="628"/>
      <c r="I15" s="628"/>
      <c r="J15" s="628"/>
      <c r="K15" s="629"/>
      <c r="L15" s="629"/>
      <c r="M15" s="626"/>
      <c r="N15" s="627"/>
      <c r="O15" s="627"/>
      <c r="P15" s="627"/>
      <c r="Q15" s="627"/>
      <c r="R15" s="515" t="str">
        <f t="shared" si="0"/>
        <v/>
      </c>
      <c r="S15" s="515"/>
      <c r="T15" s="515"/>
      <c r="U15" s="534"/>
      <c r="V15" s="634"/>
      <c r="W15" s="635"/>
      <c r="X15" s="635"/>
      <c r="Y15" s="635"/>
      <c r="Z15" s="635"/>
      <c r="AA15" s="635"/>
      <c r="AB15" s="635"/>
      <c r="AC15" s="635"/>
      <c r="AD15" s="636"/>
      <c r="AN15" s="116" t="s">
        <v>176</v>
      </c>
      <c r="AO15" s="116" t="s">
        <v>175</v>
      </c>
      <c r="AR15" s="115"/>
      <c r="AS15" s="115"/>
      <c r="AT15" s="115"/>
      <c r="AU15" s="47"/>
      <c r="AV15" s="47"/>
      <c r="AW15" s="47"/>
      <c r="AX15" s="47"/>
      <c r="AY15" s="47"/>
      <c r="AZ15" s="47"/>
      <c r="BA15" s="47"/>
      <c r="BB15" s="47"/>
      <c r="BC15" s="47"/>
      <c r="BD15" s="47"/>
      <c r="BE15" s="47"/>
      <c r="BF15" s="115"/>
      <c r="BG15" s="115"/>
      <c r="BH15" s="115"/>
      <c r="BI15" s="115"/>
      <c r="BJ15" s="115"/>
      <c r="BK15" s="115"/>
      <c r="BL15" s="115"/>
    </row>
    <row r="16" spans="1:64" ht="17.100000000000001" customHeight="1" thickBot="1">
      <c r="A16" s="118">
        <v>10</v>
      </c>
      <c r="B16" s="628"/>
      <c r="C16" s="628"/>
      <c r="D16" s="628"/>
      <c r="E16" s="628"/>
      <c r="F16" s="628"/>
      <c r="G16" s="628"/>
      <c r="H16" s="628"/>
      <c r="I16" s="628"/>
      <c r="J16" s="628"/>
      <c r="K16" s="629"/>
      <c r="L16" s="629"/>
      <c r="M16" s="626"/>
      <c r="N16" s="627"/>
      <c r="O16" s="627"/>
      <c r="P16" s="627"/>
      <c r="Q16" s="627"/>
      <c r="R16" s="515" t="str">
        <f t="shared" si="0"/>
        <v/>
      </c>
      <c r="S16" s="515"/>
      <c r="T16" s="515"/>
      <c r="U16" s="534"/>
      <c r="V16" s="634"/>
      <c r="W16" s="635"/>
      <c r="X16" s="635"/>
      <c r="Y16" s="635"/>
      <c r="Z16" s="635"/>
      <c r="AA16" s="635"/>
      <c r="AB16" s="635"/>
      <c r="AC16" s="635"/>
      <c r="AD16" s="636"/>
      <c r="AN16" s="116" t="s">
        <v>178</v>
      </c>
      <c r="AO16" s="116" t="s">
        <v>177</v>
      </c>
      <c r="AR16" s="115"/>
      <c r="AS16" s="115"/>
      <c r="AT16" s="115"/>
      <c r="AU16" s="47"/>
      <c r="AV16" s="47"/>
      <c r="AW16" s="47"/>
      <c r="AX16" s="47"/>
      <c r="AY16" s="47"/>
      <c r="AZ16" s="47"/>
      <c r="BA16" s="47"/>
      <c r="BB16" s="47"/>
      <c r="BC16" s="47"/>
      <c r="BD16" s="47"/>
      <c r="BE16" s="47"/>
      <c r="BF16" s="115"/>
      <c r="BG16" s="115"/>
      <c r="BH16" s="115"/>
      <c r="BI16" s="115"/>
      <c r="BJ16" s="115"/>
      <c r="BK16" s="115"/>
      <c r="BL16" s="115"/>
    </row>
    <row r="17" spans="1:64" ht="16.5" customHeight="1">
      <c r="A17" s="643" t="s">
        <v>0</v>
      </c>
      <c r="B17" s="644"/>
      <c r="C17" s="644"/>
      <c r="D17" s="644"/>
      <c r="E17" s="644"/>
      <c r="F17" s="644"/>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c r="AD17" s="645"/>
      <c r="AN17" s="116" t="s">
        <v>180</v>
      </c>
      <c r="AO17" s="116" t="s">
        <v>179</v>
      </c>
      <c r="AR17" s="115"/>
      <c r="AS17" s="115"/>
      <c r="AT17" s="115"/>
      <c r="AU17" s="47"/>
      <c r="AV17" s="47"/>
      <c r="AW17" s="47"/>
      <c r="AX17" s="47"/>
      <c r="AY17" s="47"/>
      <c r="AZ17" s="47"/>
      <c r="BA17" s="47"/>
      <c r="BB17" s="47"/>
      <c r="BC17" s="47"/>
      <c r="BD17" s="47"/>
      <c r="BE17" s="47"/>
      <c r="BF17" s="115"/>
      <c r="BG17" s="115"/>
      <c r="BH17" s="115"/>
      <c r="BI17" s="115"/>
      <c r="BJ17" s="115"/>
      <c r="BK17" s="115"/>
      <c r="BL17" s="115"/>
    </row>
    <row r="18" spans="1:64" ht="16.5" customHeight="1">
      <c r="A18" s="646"/>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8"/>
      <c r="AF18" s="294" t="s">
        <v>737</v>
      </c>
      <c r="AN18" s="116" t="s">
        <v>88</v>
      </c>
      <c r="AO18" s="116" t="s">
        <v>181</v>
      </c>
      <c r="AR18" s="115"/>
      <c r="AS18" s="115"/>
      <c r="AT18" s="115"/>
      <c r="AU18" s="47"/>
      <c r="AV18" s="47"/>
      <c r="AW18" s="47"/>
      <c r="AX18" s="47"/>
      <c r="AY18" s="47"/>
      <c r="AZ18" s="47"/>
      <c r="BA18" s="47"/>
      <c r="BB18" s="47"/>
      <c r="BC18" s="47"/>
      <c r="BD18" s="47"/>
      <c r="BE18" s="47"/>
      <c r="BF18" s="115"/>
      <c r="BG18" s="115"/>
      <c r="BH18" s="115"/>
      <c r="BI18" s="115"/>
      <c r="BJ18" s="115"/>
      <c r="BK18" s="115"/>
      <c r="BL18" s="115"/>
    </row>
    <row r="19" spans="1:64" ht="18.75" customHeight="1">
      <c r="A19" s="74"/>
      <c r="B19" s="6"/>
      <c r="C19" s="649" t="s">
        <v>677</v>
      </c>
      <c r="D19" s="649"/>
      <c r="E19" s="649"/>
      <c r="F19" s="649"/>
      <c r="G19" s="649"/>
      <c r="H19" s="649"/>
      <c r="I19" s="649"/>
      <c r="J19" s="649"/>
      <c r="K19" s="649"/>
      <c r="L19" s="649"/>
      <c r="M19" s="649"/>
      <c r="N19" s="649"/>
      <c r="O19" s="649"/>
      <c r="P19" s="658"/>
      <c r="Q19" s="658"/>
      <c r="R19" s="658"/>
      <c r="S19" s="658"/>
      <c r="T19" s="658"/>
      <c r="U19" s="658"/>
      <c r="V19" s="325" t="s">
        <v>836</v>
      </c>
      <c r="W19" s="6"/>
      <c r="X19" s="6"/>
      <c r="Y19" s="6"/>
      <c r="Z19" s="6"/>
      <c r="AA19" s="6"/>
      <c r="AB19" s="6"/>
      <c r="AC19" s="6"/>
      <c r="AD19" s="75"/>
      <c r="AF19" s="296" t="str">
        <f>IF(P19="","",IF(P19="（１）県内全域を希望","yes","no"))</f>
        <v/>
      </c>
      <c r="AN19" s="116" t="s">
        <v>183</v>
      </c>
      <c r="AO19" s="116" t="s">
        <v>182</v>
      </c>
      <c r="AR19" s="115"/>
      <c r="AS19" s="115"/>
      <c r="AT19" s="115"/>
      <c r="AU19" s="47"/>
      <c r="AV19" s="47"/>
      <c r="AW19" s="47"/>
      <c r="AX19" s="47"/>
      <c r="AY19" s="47"/>
      <c r="AZ19" s="47"/>
      <c r="BA19" s="47"/>
      <c r="BB19" s="47"/>
      <c r="BC19" s="47"/>
      <c r="BD19" s="47"/>
      <c r="BE19" s="47"/>
      <c r="BF19" s="115"/>
      <c r="BG19" s="115"/>
      <c r="BH19" s="115"/>
      <c r="BI19" s="115"/>
      <c r="BJ19" s="115"/>
      <c r="BK19" s="115"/>
      <c r="BL19" s="115"/>
    </row>
    <row r="20" spans="1:64" ht="18.75" customHeight="1">
      <c r="A20" s="74"/>
      <c r="B20" s="6"/>
      <c r="C20" s="6"/>
      <c r="D20" s="119" t="s">
        <v>678</v>
      </c>
      <c r="E20" s="17"/>
      <c r="F20" s="659" t="s">
        <v>721</v>
      </c>
      <c r="G20" s="659"/>
      <c r="H20" s="659"/>
      <c r="I20" s="659"/>
      <c r="J20" s="659"/>
      <c r="K20" s="659"/>
      <c r="L20" s="659"/>
      <c r="M20" s="659"/>
      <c r="N20" s="659"/>
      <c r="O20" s="659"/>
      <c r="P20" s="659"/>
      <c r="Q20" s="659"/>
      <c r="R20" s="659"/>
      <c r="S20" s="659"/>
      <c r="T20" s="659"/>
      <c r="U20" s="659"/>
      <c r="V20" s="659"/>
      <c r="W20" s="659"/>
      <c r="X20" s="6"/>
      <c r="Y20" s="6"/>
      <c r="Z20" s="6"/>
      <c r="AA20" s="47"/>
      <c r="AB20" s="6"/>
      <c r="AC20" s="6"/>
      <c r="AD20" s="75"/>
      <c r="AL20" s="2" t="s">
        <v>679</v>
      </c>
      <c r="AN20" s="116" t="s">
        <v>185</v>
      </c>
      <c r="AO20" s="116" t="s">
        <v>184</v>
      </c>
      <c r="AR20" s="115"/>
      <c r="AS20" s="115"/>
      <c r="AT20" s="115"/>
      <c r="AU20" s="47"/>
      <c r="AV20" s="47"/>
      <c r="AW20" s="47"/>
      <c r="AX20" s="47"/>
      <c r="AY20" s="47"/>
      <c r="AZ20" s="47"/>
      <c r="BA20" s="47"/>
      <c r="BB20" s="47"/>
      <c r="BC20" s="47"/>
      <c r="BD20" s="47"/>
      <c r="BE20" s="47"/>
      <c r="BF20" s="115"/>
      <c r="BG20" s="115"/>
      <c r="BH20" s="115"/>
      <c r="BI20" s="115"/>
      <c r="BJ20" s="115"/>
      <c r="BK20" s="115"/>
      <c r="BL20" s="115"/>
    </row>
    <row r="21" spans="1:64" ht="18.75" customHeight="1">
      <c r="A21" s="74"/>
      <c r="B21" s="6"/>
      <c r="C21" s="6"/>
      <c r="D21" s="119" t="s">
        <v>680</v>
      </c>
      <c r="E21" s="17"/>
      <c r="F21" s="659" t="s">
        <v>654</v>
      </c>
      <c r="G21" s="659"/>
      <c r="H21" s="659"/>
      <c r="I21" s="659"/>
      <c r="J21" s="659"/>
      <c r="K21" s="659"/>
      <c r="L21" s="659"/>
      <c r="M21" s="659"/>
      <c r="N21" s="659"/>
      <c r="O21" s="659"/>
      <c r="P21" s="659"/>
      <c r="Q21" s="659"/>
      <c r="R21" s="659"/>
      <c r="S21" s="659"/>
      <c r="T21" s="659"/>
      <c r="U21" s="659"/>
      <c r="V21" s="659"/>
      <c r="W21" s="659"/>
      <c r="X21" s="6"/>
      <c r="Y21" s="6"/>
      <c r="Z21" s="6"/>
      <c r="AA21" s="6"/>
      <c r="AB21" s="6"/>
      <c r="AC21" s="6"/>
      <c r="AD21" s="75"/>
      <c r="AL21" s="2" t="s">
        <v>681</v>
      </c>
      <c r="AN21" s="116" t="s">
        <v>187</v>
      </c>
      <c r="AO21" s="116" t="s">
        <v>186</v>
      </c>
      <c r="AR21" s="115"/>
      <c r="AS21" s="115"/>
      <c r="AT21" s="115"/>
      <c r="AU21" s="47"/>
      <c r="AV21" s="47"/>
      <c r="AW21" s="47"/>
      <c r="AX21" s="47"/>
      <c r="AY21" s="47"/>
      <c r="AZ21" s="47"/>
      <c r="BA21" s="47"/>
      <c r="BB21" s="47"/>
      <c r="BC21" s="47"/>
      <c r="BD21" s="47"/>
      <c r="BE21" s="47"/>
      <c r="BF21" s="115"/>
      <c r="BG21" s="115"/>
      <c r="BH21" s="115"/>
      <c r="BI21" s="115"/>
      <c r="BJ21" s="115"/>
      <c r="BK21" s="115"/>
      <c r="BL21" s="115"/>
    </row>
    <row r="22" spans="1:64" ht="18.75" customHeight="1">
      <c r="A22" s="74"/>
      <c r="B22" s="17" t="s">
        <v>682</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75"/>
      <c r="AN22" s="116" t="s">
        <v>189</v>
      </c>
      <c r="AO22" s="116" t="s">
        <v>188</v>
      </c>
      <c r="AR22" s="115"/>
      <c r="AS22" s="115"/>
      <c r="AT22" s="115"/>
      <c r="AU22" s="47"/>
      <c r="AV22" s="47"/>
      <c r="AW22" s="47"/>
      <c r="AX22" s="47"/>
      <c r="AY22" s="47"/>
      <c r="AZ22" s="47"/>
      <c r="BA22" s="47"/>
      <c r="BB22" s="47"/>
      <c r="BC22" s="47"/>
      <c r="BD22" s="47"/>
      <c r="BE22" s="47"/>
      <c r="BF22" s="115"/>
      <c r="BG22" s="115"/>
      <c r="BH22" s="115"/>
      <c r="BI22" s="115"/>
      <c r="BJ22" s="115"/>
      <c r="BK22" s="115"/>
      <c r="BL22" s="115"/>
    </row>
    <row r="23" spans="1:64" ht="18.75" customHeight="1">
      <c r="A23" s="74"/>
      <c r="B23" s="576" t="s">
        <v>722</v>
      </c>
      <c r="C23" s="515"/>
      <c r="D23" s="515"/>
      <c r="E23" s="515"/>
      <c r="F23" s="515"/>
      <c r="G23" s="515"/>
      <c r="H23" s="515"/>
      <c r="I23" s="515"/>
      <c r="J23" s="515"/>
      <c r="K23" s="515"/>
      <c r="L23" s="515"/>
      <c r="M23" s="515"/>
      <c r="N23" s="515"/>
      <c r="O23" s="94"/>
      <c r="P23" s="576" t="s">
        <v>683</v>
      </c>
      <c r="Q23" s="652"/>
      <c r="R23" s="652"/>
      <c r="S23" s="652"/>
      <c r="T23" s="652"/>
      <c r="U23" s="652"/>
      <c r="V23" s="652"/>
      <c r="W23" s="652"/>
      <c r="X23" s="652"/>
      <c r="Y23" s="652"/>
      <c r="Z23" s="652"/>
      <c r="AA23" s="652"/>
      <c r="AB23" s="652"/>
      <c r="AC23" s="653"/>
      <c r="AD23" s="75"/>
      <c r="AF23" s="294" t="s">
        <v>737</v>
      </c>
      <c r="AN23" s="116" t="s">
        <v>86</v>
      </c>
      <c r="AO23" s="116" t="s">
        <v>190</v>
      </c>
      <c r="AR23" s="115"/>
      <c r="AS23" s="115"/>
      <c r="AT23" s="115"/>
      <c r="AU23" s="47"/>
      <c r="AV23" s="47"/>
      <c r="AW23" s="47"/>
      <c r="AX23" s="47"/>
      <c r="AY23" s="47"/>
      <c r="AZ23" s="47"/>
      <c r="BA23" s="47"/>
      <c r="BB23" s="47"/>
      <c r="BC23" s="47"/>
      <c r="BD23" s="47"/>
      <c r="BE23" s="47"/>
      <c r="BF23" s="115"/>
      <c r="BG23" s="115"/>
      <c r="BH23" s="115"/>
      <c r="BI23" s="115"/>
      <c r="BJ23" s="115"/>
      <c r="BK23" s="115"/>
      <c r="BL23" s="115"/>
    </row>
    <row r="24" spans="1:64" ht="18" customHeight="1">
      <c r="A24" s="74"/>
      <c r="B24" s="120" t="s">
        <v>547</v>
      </c>
      <c r="C24" s="121"/>
      <c r="D24" s="121" t="s">
        <v>227</v>
      </c>
      <c r="E24" s="50"/>
      <c r="F24" s="121"/>
      <c r="G24" s="121"/>
      <c r="H24" s="121"/>
      <c r="I24" s="121"/>
      <c r="J24" s="121"/>
      <c r="K24" s="121"/>
      <c r="L24" s="121"/>
      <c r="M24" s="121"/>
      <c r="N24" s="121"/>
      <c r="O24" s="48"/>
      <c r="P24" s="93"/>
      <c r="Q24" s="93" t="str">
        <f>IF(O24="","",VLOOKUP(O24,$AJ$24:$AL$25,2,FALSE))</f>
        <v/>
      </c>
      <c r="R24" s="49" t="s">
        <v>655</v>
      </c>
      <c r="S24" s="93"/>
      <c r="T24" s="93"/>
      <c r="U24" s="50"/>
      <c r="V24" s="51"/>
      <c r="W24" s="52"/>
      <c r="X24" s="93" t="str">
        <f>IF(O24="","",VLOOKUP(O24,$AJ$24:$AL$25,3,FALSE))</f>
        <v/>
      </c>
      <c r="Y24" s="46" t="s">
        <v>656</v>
      </c>
      <c r="Z24" s="49"/>
      <c r="AA24" s="49"/>
      <c r="AB24" s="49"/>
      <c r="AC24" s="53"/>
      <c r="AD24" s="122"/>
      <c r="AF24" s="294" t="str">
        <f>IF(O24="","",IF(O24="○","yes","no"))</f>
        <v/>
      </c>
      <c r="AG24" s="123"/>
      <c r="AH24" s="123"/>
      <c r="AI24" s="123"/>
      <c r="AJ24" s="124" t="s">
        <v>217</v>
      </c>
      <c r="AK24" s="124" t="s">
        <v>217</v>
      </c>
      <c r="AL24" s="124" t="s">
        <v>218</v>
      </c>
      <c r="AM24" s="123"/>
      <c r="AN24" s="116" t="s">
        <v>192</v>
      </c>
      <c r="AO24" s="116" t="s">
        <v>191</v>
      </c>
      <c r="AR24" s="115"/>
      <c r="AS24" s="115"/>
      <c r="AT24" s="115"/>
      <c r="AU24" s="47"/>
      <c r="AV24" s="47"/>
      <c r="AW24" s="47"/>
      <c r="AX24" s="47"/>
      <c r="AY24" s="47"/>
      <c r="AZ24" s="47"/>
      <c r="BA24" s="47"/>
      <c r="BB24" s="47"/>
      <c r="BC24" s="47"/>
      <c r="BD24" s="47"/>
      <c r="BE24" s="47"/>
      <c r="BF24" s="115"/>
      <c r="BG24" s="115"/>
      <c r="BH24" s="115"/>
      <c r="BI24" s="115"/>
      <c r="BJ24" s="115"/>
      <c r="BK24" s="115"/>
      <c r="BL24" s="115"/>
    </row>
    <row r="25" spans="1:64" ht="18" customHeight="1">
      <c r="A25" s="74"/>
      <c r="B25" s="120" t="s">
        <v>548</v>
      </c>
      <c r="C25" s="121"/>
      <c r="D25" s="121" t="s">
        <v>228</v>
      </c>
      <c r="E25" s="50"/>
      <c r="F25" s="121"/>
      <c r="G25" s="121"/>
      <c r="H25" s="121"/>
      <c r="I25" s="121"/>
      <c r="J25" s="121"/>
      <c r="K25" s="121"/>
      <c r="L25" s="121"/>
      <c r="M25" s="121"/>
      <c r="N25" s="121"/>
      <c r="O25" s="48"/>
      <c r="P25" s="93"/>
      <c r="Q25" s="93" t="str">
        <f t="shared" ref="Q25:Q37" si="1">IF(O25="","",VLOOKUP(O25,$AJ$24:$AL$25,2,FALSE))</f>
        <v/>
      </c>
      <c r="R25" s="49" t="s">
        <v>655</v>
      </c>
      <c r="S25" s="93"/>
      <c r="T25" s="93"/>
      <c r="U25" s="50"/>
      <c r="V25" s="51"/>
      <c r="W25" s="93"/>
      <c r="X25" s="93" t="str">
        <f t="shared" ref="X25:X37" si="2">IF(O25="","",VLOOKUP(O25,$AJ$24:$AL$25,3,FALSE))</f>
        <v/>
      </c>
      <c r="Y25" s="46" t="s">
        <v>656</v>
      </c>
      <c r="Z25" s="93"/>
      <c r="AA25" s="93"/>
      <c r="AB25" s="50"/>
      <c r="AC25" s="92"/>
      <c r="AD25" s="75"/>
      <c r="AF25" s="294" t="str">
        <f t="shared" ref="AF25:AF37" si="3">IF(O25="","",IF(O25="○","yes","no"))</f>
        <v/>
      </c>
      <c r="AG25" s="123"/>
      <c r="AH25" s="123"/>
      <c r="AI25" s="123"/>
      <c r="AJ25" s="124" t="s">
        <v>218</v>
      </c>
      <c r="AK25" s="124" t="s">
        <v>218</v>
      </c>
      <c r="AL25" s="124" t="s">
        <v>217</v>
      </c>
      <c r="AM25" s="123"/>
      <c r="AN25" s="116" t="s">
        <v>194</v>
      </c>
      <c r="AO25" s="116" t="s">
        <v>193</v>
      </c>
      <c r="AR25" s="115"/>
      <c r="AS25" s="115"/>
      <c r="AT25" s="115"/>
      <c r="AU25" s="47"/>
      <c r="AV25" s="47"/>
      <c r="AW25" s="47"/>
      <c r="AX25" s="47"/>
      <c r="AY25" s="47"/>
      <c r="AZ25" s="47"/>
      <c r="BA25" s="47"/>
      <c r="BB25" s="47"/>
      <c r="BC25" s="47"/>
      <c r="BD25" s="47"/>
      <c r="BE25" s="47"/>
      <c r="BF25" s="115"/>
      <c r="BG25" s="115"/>
      <c r="BH25" s="115"/>
      <c r="BI25" s="115"/>
      <c r="BJ25" s="115"/>
      <c r="BK25" s="115"/>
      <c r="BL25" s="115"/>
    </row>
    <row r="26" spans="1:64" ht="18" customHeight="1">
      <c r="A26" s="74"/>
      <c r="B26" s="120" t="s">
        <v>549</v>
      </c>
      <c r="C26" s="121"/>
      <c r="D26" s="121" t="s">
        <v>229</v>
      </c>
      <c r="E26" s="50"/>
      <c r="F26" s="121"/>
      <c r="G26" s="121"/>
      <c r="H26" s="121"/>
      <c r="I26" s="121"/>
      <c r="J26" s="121"/>
      <c r="K26" s="121"/>
      <c r="L26" s="121"/>
      <c r="M26" s="121"/>
      <c r="N26" s="121"/>
      <c r="O26" s="48"/>
      <c r="P26" s="93"/>
      <c r="Q26" s="93" t="str">
        <f t="shared" si="1"/>
        <v/>
      </c>
      <c r="R26" s="49" t="s">
        <v>655</v>
      </c>
      <c r="S26" s="93"/>
      <c r="T26" s="93"/>
      <c r="U26" s="50"/>
      <c r="V26" s="51"/>
      <c r="W26" s="93"/>
      <c r="X26" s="93" t="str">
        <f t="shared" si="2"/>
        <v/>
      </c>
      <c r="Y26" s="46" t="s">
        <v>656</v>
      </c>
      <c r="Z26" s="93"/>
      <c r="AA26" s="93"/>
      <c r="AB26" s="50"/>
      <c r="AC26" s="92"/>
      <c r="AD26" s="75"/>
      <c r="AF26" s="294" t="str">
        <f t="shared" si="3"/>
        <v/>
      </c>
      <c r="AG26" s="123"/>
      <c r="AH26" s="123"/>
      <c r="AI26" s="123"/>
      <c r="AJ26" s="123"/>
      <c r="AK26" s="123"/>
      <c r="AL26" s="123"/>
      <c r="AM26" s="123"/>
      <c r="AN26" s="116" t="s">
        <v>196</v>
      </c>
      <c r="AO26" s="116" t="s">
        <v>195</v>
      </c>
      <c r="AR26" s="115"/>
      <c r="AS26" s="115"/>
      <c r="AT26" s="115"/>
      <c r="AU26" s="47"/>
      <c r="AV26" s="47"/>
      <c r="AW26" s="47"/>
      <c r="AX26" s="47"/>
      <c r="AY26" s="47"/>
      <c r="AZ26" s="47"/>
      <c r="BA26" s="47"/>
      <c r="BB26" s="47"/>
      <c r="BC26" s="47"/>
      <c r="BD26" s="47"/>
      <c r="BE26" s="47"/>
      <c r="BF26" s="115"/>
      <c r="BG26" s="115"/>
      <c r="BH26" s="115"/>
      <c r="BI26" s="115"/>
      <c r="BJ26" s="115"/>
      <c r="BK26" s="115"/>
      <c r="BL26" s="115"/>
    </row>
    <row r="27" spans="1:64" ht="18" customHeight="1">
      <c r="A27" s="74"/>
      <c r="B27" s="120" t="s">
        <v>550</v>
      </c>
      <c r="C27" s="121"/>
      <c r="D27" s="121" t="s">
        <v>230</v>
      </c>
      <c r="E27" s="50"/>
      <c r="F27" s="121"/>
      <c r="G27" s="121"/>
      <c r="H27" s="121"/>
      <c r="I27" s="121"/>
      <c r="J27" s="121"/>
      <c r="K27" s="121"/>
      <c r="L27" s="121"/>
      <c r="M27" s="121"/>
      <c r="N27" s="121"/>
      <c r="O27" s="48"/>
      <c r="P27" s="93"/>
      <c r="Q27" s="93" t="str">
        <f t="shared" si="1"/>
        <v/>
      </c>
      <c r="R27" s="49" t="s">
        <v>655</v>
      </c>
      <c r="S27" s="93"/>
      <c r="T27" s="93"/>
      <c r="U27" s="50"/>
      <c r="V27" s="51"/>
      <c r="W27" s="93"/>
      <c r="X27" s="93" t="str">
        <f t="shared" si="2"/>
        <v/>
      </c>
      <c r="Y27" s="46" t="s">
        <v>656</v>
      </c>
      <c r="Z27" s="93"/>
      <c r="AA27" s="93"/>
      <c r="AB27" s="50"/>
      <c r="AC27" s="92"/>
      <c r="AD27" s="75"/>
      <c r="AF27" s="294" t="str">
        <f t="shared" si="3"/>
        <v/>
      </c>
      <c r="AG27" s="123"/>
      <c r="AH27" s="123"/>
      <c r="AI27" s="123"/>
      <c r="AJ27" s="123"/>
      <c r="AK27" s="123"/>
      <c r="AL27" s="123"/>
      <c r="AM27" s="123"/>
      <c r="AN27" s="116" t="s">
        <v>198</v>
      </c>
      <c r="AO27" s="116" t="s">
        <v>197</v>
      </c>
      <c r="AR27" s="115"/>
      <c r="AS27" s="115"/>
      <c r="AT27" s="115"/>
      <c r="AU27" s="47"/>
      <c r="AV27" s="47"/>
      <c r="AW27" s="47"/>
      <c r="AX27" s="47"/>
      <c r="AY27" s="47"/>
      <c r="AZ27" s="47"/>
      <c r="BA27" s="47"/>
      <c r="BB27" s="47"/>
      <c r="BC27" s="47"/>
      <c r="BD27" s="47"/>
      <c r="BE27" s="47"/>
      <c r="BF27" s="115"/>
      <c r="BG27" s="115"/>
      <c r="BH27" s="115"/>
      <c r="BI27" s="115"/>
      <c r="BJ27" s="115"/>
      <c r="BK27" s="115"/>
      <c r="BL27" s="115"/>
    </row>
    <row r="28" spans="1:64" ht="18" customHeight="1">
      <c r="A28" s="74"/>
      <c r="B28" s="120" t="s">
        <v>551</v>
      </c>
      <c r="C28" s="121"/>
      <c r="D28" s="477" t="s">
        <v>231</v>
      </c>
      <c r="E28" s="477"/>
      <c r="F28" s="477"/>
      <c r="G28" s="477"/>
      <c r="H28" s="477"/>
      <c r="I28" s="477"/>
      <c r="J28" s="477"/>
      <c r="K28" s="477"/>
      <c r="L28" s="477"/>
      <c r="M28" s="477"/>
      <c r="N28" s="477"/>
      <c r="O28" s="48"/>
      <c r="P28" s="93"/>
      <c r="Q28" s="93" t="str">
        <f t="shared" si="1"/>
        <v/>
      </c>
      <c r="R28" s="49" t="s">
        <v>655</v>
      </c>
      <c r="S28" s="93"/>
      <c r="T28" s="93"/>
      <c r="U28" s="50"/>
      <c r="V28" s="51"/>
      <c r="W28" s="93"/>
      <c r="X28" s="93" t="str">
        <f t="shared" si="2"/>
        <v/>
      </c>
      <c r="Y28" s="46" t="s">
        <v>656</v>
      </c>
      <c r="Z28" s="93"/>
      <c r="AA28" s="93"/>
      <c r="AB28" s="50"/>
      <c r="AC28" s="92"/>
      <c r="AD28" s="75"/>
      <c r="AF28" s="294" t="str">
        <f t="shared" si="3"/>
        <v/>
      </c>
      <c r="AG28" s="123"/>
      <c r="AH28" s="123"/>
      <c r="AI28" s="123"/>
      <c r="AJ28" s="123"/>
      <c r="AK28" s="123"/>
      <c r="AL28" s="123"/>
      <c r="AM28" s="123"/>
      <c r="AN28" s="116" t="s">
        <v>200</v>
      </c>
      <c r="AO28" s="116" t="s">
        <v>199</v>
      </c>
      <c r="AR28" s="115"/>
      <c r="AS28" s="115"/>
      <c r="AT28" s="115"/>
      <c r="AU28" s="115"/>
      <c r="AV28" s="115"/>
      <c r="AW28" s="115"/>
      <c r="AX28" s="115"/>
      <c r="AY28" s="47"/>
      <c r="AZ28" s="47"/>
      <c r="BA28" s="47"/>
      <c r="BB28" s="47"/>
      <c r="BC28" s="47"/>
      <c r="BD28" s="47"/>
      <c r="BE28" s="47"/>
      <c r="BF28" s="115"/>
      <c r="BG28" s="115"/>
      <c r="BH28" s="115"/>
      <c r="BI28" s="115"/>
      <c r="BJ28" s="115"/>
      <c r="BK28" s="115"/>
      <c r="BL28" s="115"/>
    </row>
    <row r="29" spans="1:64" ht="18" customHeight="1">
      <c r="A29" s="74"/>
      <c r="B29" s="120" t="s">
        <v>552</v>
      </c>
      <c r="C29" s="121"/>
      <c r="D29" s="121" t="s">
        <v>232</v>
      </c>
      <c r="E29" s="50"/>
      <c r="F29" s="121"/>
      <c r="G29" s="121"/>
      <c r="H29" s="121"/>
      <c r="I29" s="121"/>
      <c r="J29" s="121"/>
      <c r="K29" s="121"/>
      <c r="L29" s="121"/>
      <c r="M29" s="121"/>
      <c r="N29" s="121"/>
      <c r="O29" s="48"/>
      <c r="P29" s="93"/>
      <c r="Q29" s="93" t="str">
        <f t="shared" si="1"/>
        <v/>
      </c>
      <c r="R29" s="49" t="s">
        <v>655</v>
      </c>
      <c r="S29" s="93"/>
      <c r="T29" s="93"/>
      <c r="U29" s="50"/>
      <c r="V29" s="51"/>
      <c r="W29" s="93"/>
      <c r="X29" s="93" t="str">
        <f t="shared" si="2"/>
        <v/>
      </c>
      <c r="Y29" s="46" t="s">
        <v>656</v>
      </c>
      <c r="Z29" s="93"/>
      <c r="AA29" s="93"/>
      <c r="AB29" s="50"/>
      <c r="AC29" s="92"/>
      <c r="AD29" s="75"/>
      <c r="AF29" s="294" t="str">
        <f t="shared" si="3"/>
        <v/>
      </c>
      <c r="AG29" s="123"/>
      <c r="AH29" s="123"/>
      <c r="AI29" s="123"/>
      <c r="AJ29" s="123"/>
      <c r="AK29" s="123"/>
      <c r="AL29" s="123"/>
      <c r="AM29" s="123"/>
      <c r="AN29" s="116" t="s">
        <v>202</v>
      </c>
      <c r="AO29" s="116" t="s">
        <v>201</v>
      </c>
      <c r="AR29" s="115"/>
      <c r="AS29" s="115"/>
      <c r="AT29" s="115"/>
      <c r="AU29" s="125"/>
      <c r="AV29" s="125"/>
      <c r="AW29" s="126"/>
      <c r="AX29" s="126"/>
      <c r="AY29" s="47"/>
      <c r="AZ29" s="47"/>
      <c r="BA29" s="47"/>
      <c r="BB29" s="47"/>
      <c r="BC29" s="47"/>
      <c r="BD29" s="47"/>
      <c r="BE29" s="47"/>
      <c r="BF29" s="115"/>
      <c r="BG29" s="115"/>
      <c r="BH29" s="115"/>
      <c r="BI29" s="115"/>
      <c r="BJ29" s="115"/>
      <c r="BK29" s="115"/>
      <c r="BL29" s="115"/>
    </row>
    <row r="30" spans="1:64" ht="18" customHeight="1">
      <c r="A30" s="74"/>
      <c r="B30" s="120" t="s">
        <v>553</v>
      </c>
      <c r="C30" s="121"/>
      <c r="D30" s="121" t="s">
        <v>86</v>
      </c>
      <c r="E30" s="50"/>
      <c r="F30" s="121"/>
      <c r="G30" s="121"/>
      <c r="H30" s="121"/>
      <c r="I30" s="121"/>
      <c r="J30" s="121"/>
      <c r="K30" s="121"/>
      <c r="L30" s="121"/>
      <c r="M30" s="121"/>
      <c r="N30" s="121"/>
      <c r="O30" s="48"/>
      <c r="P30" s="93"/>
      <c r="Q30" s="93" t="str">
        <f t="shared" si="1"/>
        <v/>
      </c>
      <c r="R30" s="49" t="s">
        <v>655</v>
      </c>
      <c r="S30" s="93"/>
      <c r="T30" s="93"/>
      <c r="U30" s="50"/>
      <c r="V30" s="51"/>
      <c r="W30" s="93"/>
      <c r="X30" s="93" t="str">
        <f t="shared" si="2"/>
        <v/>
      </c>
      <c r="Y30" s="46" t="s">
        <v>656</v>
      </c>
      <c r="Z30" s="93"/>
      <c r="AA30" s="93"/>
      <c r="AB30" s="50"/>
      <c r="AC30" s="92"/>
      <c r="AD30" s="75"/>
      <c r="AF30" s="294" t="str">
        <f t="shared" si="3"/>
        <v/>
      </c>
      <c r="AG30" s="123"/>
      <c r="AH30" s="123"/>
      <c r="AI30" s="123"/>
      <c r="AJ30" s="123"/>
      <c r="AK30" s="123"/>
      <c r="AL30" s="123"/>
      <c r="AM30" s="123"/>
      <c r="AN30" s="116" t="s">
        <v>204</v>
      </c>
      <c r="AO30" s="116" t="s">
        <v>203</v>
      </c>
      <c r="AR30" s="115"/>
      <c r="AS30" s="115"/>
      <c r="AT30" s="115"/>
      <c r="AU30" s="125"/>
      <c r="AV30" s="125"/>
      <c r="AW30" s="126"/>
      <c r="AX30" s="126"/>
      <c r="AY30" s="47"/>
      <c r="AZ30" s="47"/>
      <c r="BA30" s="47"/>
      <c r="BB30" s="47"/>
      <c r="BC30" s="47"/>
      <c r="BD30" s="47"/>
      <c r="BE30" s="47"/>
      <c r="BF30" s="115"/>
      <c r="BG30" s="115"/>
      <c r="BH30" s="115"/>
      <c r="BI30" s="115"/>
      <c r="BJ30" s="115"/>
      <c r="BK30" s="115"/>
      <c r="BL30" s="115"/>
    </row>
    <row r="31" spans="1:64" ht="18" customHeight="1">
      <c r="A31" s="74"/>
      <c r="B31" s="120" t="s">
        <v>684</v>
      </c>
      <c r="C31" s="121"/>
      <c r="D31" s="121" t="s">
        <v>233</v>
      </c>
      <c r="E31" s="50"/>
      <c r="F31" s="121"/>
      <c r="G31" s="121"/>
      <c r="H31" s="121"/>
      <c r="I31" s="121"/>
      <c r="J31" s="121"/>
      <c r="K31" s="121"/>
      <c r="L31" s="121"/>
      <c r="M31" s="121"/>
      <c r="N31" s="121"/>
      <c r="O31" s="48"/>
      <c r="P31" s="93"/>
      <c r="Q31" s="93" t="str">
        <f t="shared" si="1"/>
        <v/>
      </c>
      <c r="R31" s="49" t="s">
        <v>655</v>
      </c>
      <c r="S31" s="93"/>
      <c r="T31" s="93"/>
      <c r="U31" s="50"/>
      <c r="V31" s="51"/>
      <c r="W31" s="93"/>
      <c r="X31" s="93" t="str">
        <f t="shared" si="2"/>
        <v/>
      </c>
      <c r="Y31" s="46" t="s">
        <v>656</v>
      </c>
      <c r="Z31" s="93"/>
      <c r="AA31" s="93"/>
      <c r="AB31" s="50"/>
      <c r="AC31" s="92"/>
      <c r="AD31" s="75"/>
      <c r="AF31" s="294" t="str">
        <f t="shared" si="3"/>
        <v/>
      </c>
      <c r="AG31" s="123"/>
      <c r="AH31" s="123"/>
      <c r="AI31" s="123"/>
      <c r="AJ31" s="123"/>
      <c r="AK31" s="123"/>
      <c r="AL31" s="123"/>
      <c r="AM31" s="123"/>
      <c r="AN31" s="116" t="s">
        <v>206</v>
      </c>
      <c r="AO31" s="116" t="s">
        <v>205</v>
      </c>
      <c r="AR31" s="115"/>
      <c r="AS31" s="115"/>
      <c r="AT31" s="115"/>
      <c r="AU31" s="125"/>
      <c r="AV31" s="125"/>
      <c r="AW31" s="126"/>
      <c r="AX31" s="126"/>
      <c r="AY31" s="47"/>
      <c r="AZ31" s="47"/>
      <c r="BA31" s="47"/>
      <c r="BB31" s="47"/>
      <c r="BC31" s="47"/>
      <c r="BD31" s="47"/>
      <c r="BE31" s="47"/>
      <c r="BF31" s="115"/>
      <c r="BG31" s="115"/>
      <c r="BH31" s="115"/>
      <c r="BI31" s="115"/>
      <c r="BJ31" s="115"/>
      <c r="BK31" s="115"/>
      <c r="BL31" s="115"/>
    </row>
    <row r="32" spans="1:64" ht="18" customHeight="1">
      <c r="A32" s="74"/>
      <c r="B32" s="120" t="s">
        <v>554</v>
      </c>
      <c r="C32" s="121"/>
      <c r="D32" s="121" t="s">
        <v>234</v>
      </c>
      <c r="E32" s="50"/>
      <c r="F32" s="121"/>
      <c r="G32" s="121"/>
      <c r="H32" s="121"/>
      <c r="I32" s="121"/>
      <c r="J32" s="121"/>
      <c r="K32" s="121"/>
      <c r="L32" s="121"/>
      <c r="M32" s="121"/>
      <c r="N32" s="121"/>
      <c r="O32" s="48"/>
      <c r="P32" s="93"/>
      <c r="Q32" s="93" t="str">
        <f t="shared" si="1"/>
        <v/>
      </c>
      <c r="R32" s="49" t="s">
        <v>655</v>
      </c>
      <c r="S32" s="93"/>
      <c r="T32" s="93"/>
      <c r="U32" s="50"/>
      <c r="V32" s="51"/>
      <c r="W32" s="93"/>
      <c r="X32" s="93" t="str">
        <f t="shared" si="2"/>
        <v/>
      </c>
      <c r="Y32" s="46" t="s">
        <v>656</v>
      </c>
      <c r="Z32" s="93"/>
      <c r="AA32" s="93"/>
      <c r="AB32" s="50"/>
      <c r="AC32" s="92"/>
      <c r="AD32" s="75"/>
      <c r="AF32" s="294" t="str">
        <f t="shared" si="3"/>
        <v/>
      </c>
      <c r="AG32" s="123"/>
      <c r="AH32" s="123"/>
      <c r="AI32" s="123"/>
      <c r="AJ32" s="123"/>
      <c r="AK32" s="123"/>
      <c r="AL32" s="123"/>
      <c r="AM32" s="123"/>
      <c r="AN32" s="116" t="s">
        <v>208</v>
      </c>
      <c r="AO32" s="116" t="s">
        <v>207</v>
      </c>
      <c r="AR32" s="115"/>
      <c r="AS32" s="115"/>
      <c r="AT32" s="115"/>
      <c r="AU32" s="125"/>
      <c r="AV32" s="125"/>
      <c r="AW32" s="126"/>
      <c r="AX32" s="126"/>
      <c r="AY32" s="47"/>
      <c r="AZ32" s="47"/>
      <c r="BA32" s="47"/>
      <c r="BB32" s="47"/>
      <c r="BC32" s="47"/>
      <c r="BD32" s="47"/>
      <c r="BE32" s="47"/>
      <c r="BF32" s="115"/>
      <c r="BG32" s="115"/>
      <c r="BH32" s="115"/>
      <c r="BI32" s="115"/>
      <c r="BJ32" s="115"/>
      <c r="BK32" s="115"/>
      <c r="BL32" s="115"/>
    </row>
    <row r="33" spans="1:64" ht="18" customHeight="1">
      <c r="A33" s="74"/>
      <c r="B33" s="120" t="s">
        <v>555</v>
      </c>
      <c r="C33" s="121"/>
      <c r="D33" s="121" t="s">
        <v>87</v>
      </c>
      <c r="E33" s="50"/>
      <c r="F33" s="121"/>
      <c r="G33" s="121"/>
      <c r="H33" s="121"/>
      <c r="I33" s="121"/>
      <c r="J33" s="121"/>
      <c r="K33" s="121"/>
      <c r="L33" s="121"/>
      <c r="M33" s="121"/>
      <c r="N33" s="121"/>
      <c r="O33" s="48"/>
      <c r="P33" s="93"/>
      <c r="Q33" s="93" t="str">
        <f t="shared" si="1"/>
        <v/>
      </c>
      <c r="R33" s="49" t="s">
        <v>655</v>
      </c>
      <c r="S33" s="93"/>
      <c r="T33" s="93"/>
      <c r="U33" s="50"/>
      <c r="V33" s="51"/>
      <c r="W33" s="93"/>
      <c r="X33" s="93" t="str">
        <f t="shared" si="2"/>
        <v/>
      </c>
      <c r="Y33" s="46" t="s">
        <v>656</v>
      </c>
      <c r="Z33" s="93"/>
      <c r="AA33" s="93"/>
      <c r="AB33" s="50"/>
      <c r="AC33" s="92"/>
      <c r="AD33" s="75"/>
      <c r="AF33" s="294" t="str">
        <f t="shared" si="3"/>
        <v/>
      </c>
      <c r="AG33" s="123"/>
      <c r="AH33" s="123"/>
      <c r="AI33" s="123"/>
      <c r="AJ33" s="123"/>
      <c r="AK33" s="123"/>
      <c r="AL33" s="123"/>
      <c r="AM33" s="123"/>
      <c r="AN33" s="116" t="s">
        <v>210</v>
      </c>
      <c r="AO33" s="116" t="s">
        <v>209</v>
      </c>
      <c r="AR33" s="115"/>
      <c r="AS33" s="115"/>
      <c r="AT33" s="115"/>
      <c r="AU33" s="125"/>
      <c r="AV33" s="125"/>
      <c r="AW33" s="126"/>
      <c r="AX33" s="126"/>
      <c r="AY33" s="47"/>
      <c r="AZ33" s="47"/>
      <c r="BA33" s="47"/>
      <c r="BB33" s="47"/>
      <c r="BC33" s="47"/>
      <c r="BD33" s="47"/>
      <c r="BE33" s="47"/>
      <c r="BF33" s="115"/>
      <c r="BG33" s="115"/>
      <c r="BH33" s="115"/>
      <c r="BI33" s="115"/>
      <c r="BJ33" s="115"/>
      <c r="BK33" s="115"/>
      <c r="BL33" s="115"/>
    </row>
    <row r="34" spans="1:64" ht="18" customHeight="1">
      <c r="A34" s="74"/>
      <c r="B34" s="120" t="s">
        <v>556</v>
      </c>
      <c r="C34" s="121"/>
      <c r="D34" s="121" t="s">
        <v>235</v>
      </c>
      <c r="E34" s="50"/>
      <c r="F34" s="121"/>
      <c r="G34" s="121"/>
      <c r="H34" s="121"/>
      <c r="I34" s="121"/>
      <c r="J34" s="121"/>
      <c r="K34" s="121"/>
      <c r="L34" s="121"/>
      <c r="M34" s="121"/>
      <c r="N34" s="121"/>
      <c r="O34" s="48"/>
      <c r="P34" s="93"/>
      <c r="Q34" s="93" t="str">
        <f t="shared" si="1"/>
        <v/>
      </c>
      <c r="R34" s="49" t="s">
        <v>655</v>
      </c>
      <c r="S34" s="93"/>
      <c r="T34" s="93"/>
      <c r="U34" s="50"/>
      <c r="V34" s="51"/>
      <c r="W34" s="93"/>
      <c r="X34" s="93" t="str">
        <f t="shared" si="2"/>
        <v/>
      </c>
      <c r="Y34" s="46" t="s">
        <v>656</v>
      </c>
      <c r="Z34" s="93"/>
      <c r="AA34" s="93"/>
      <c r="AB34" s="50"/>
      <c r="AC34" s="92"/>
      <c r="AD34" s="75"/>
      <c r="AF34" s="294" t="str">
        <f t="shared" si="3"/>
        <v/>
      </c>
      <c r="AG34" s="123"/>
      <c r="AH34" s="123"/>
      <c r="AI34" s="123"/>
      <c r="AJ34" s="123"/>
      <c r="AK34" s="123"/>
      <c r="AL34" s="123"/>
      <c r="AM34" s="123"/>
      <c r="AN34" s="116" t="s">
        <v>212</v>
      </c>
      <c r="AO34" s="116" t="s">
        <v>211</v>
      </c>
      <c r="AR34" s="115"/>
      <c r="AS34" s="115"/>
      <c r="AT34" s="115"/>
      <c r="AU34" s="125"/>
      <c r="AV34" s="125"/>
      <c r="AW34" s="126"/>
      <c r="AX34" s="126"/>
      <c r="AY34" s="47"/>
      <c r="AZ34" s="47"/>
      <c r="BA34" s="47"/>
      <c r="BB34" s="47"/>
      <c r="BC34" s="47"/>
      <c r="BD34" s="47"/>
      <c r="BE34" s="47"/>
      <c r="BF34" s="115"/>
      <c r="BG34" s="115"/>
      <c r="BH34" s="115"/>
      <c r="BI34" s="115"/>
      <c r="BJ34" s="115"/>
      <c r="BK34" s="115"/>
      <c r="BL34" s="115"/>
    </row>
    <row r="35" spans="1:64" ht="18" customHeight="1">
      <c r="A35" s="74"/>
      <c r="B35" s="120" t="s">
        <v>557</v>
      </c>
      <c r="C35" s="121"/>
      <c r="D35" s="121" t="s">
        <v>88</v>
      </c>
      <c r="E35" s="50"/>
      <c r="F35" s="121"/>
      <c r="G35" s="121"/>
      <c r="H35" s="121"/>
      <c r="I35" s="121"/>
      <c r="J35" s="121"/>
      <c r="K35" s="121"/>
      <c r="L35" s="121"/>
      <c r="M35" s="121"/>
      <c r="N35" s="121"/>
      <c r="O35" s="48"/>
      <c r="P35" s="93"/>
      <c r="Q35" s="93" t="str">
        <f t="shared" si="1"/>
        <v/>
      </c>
      <c r="R35" s="49" t="s">
        <v>655</v>
      </c>
      <c r="S35" s="93"/>
      <c r="T35" s="93"/>
      <c r="U35" s="50"/>
      <c r="V35" s="51"/>
      <c r="W35" s="93"/>
      <c r="X35" s="93" t="str">
        <f t="shared" si="2"/>
        <v/>
      </c>
      <c r="Y35" s="46" t="s">
        <v>656</v>
      </c>
      <c r="Z35" s="93"/>
      <c r="AA35" s="93"/>
      <c r="AB35" s="50"/>
      <c r="AC35" s="92"/>
      <c r="AD35" s="75"/>
      <c r="AF35" s="294" t="str">
        <f t="shared" si="3"/>
        <v/>
      </c>
      <c r="AG35" s="123"/>
      <c r="AH35" s="123"/>
      <c r="AI35" s="123"/>
      <c r="AJ35" s="123"/>
      <c r="AK35" s="123"/>
      <c r="AL35" s="123"/>
      <c r="AM35" s="123"/>
      <c r="AN35" s="116" t="s">
        <v>214</v>
      </c>
      <c r="AO35" s="116" t="s">
        <v>213</v>
      </c>
      <c r="AR35" s="115"/>
      <c r="AS35" s="115"/>
      <c r="AT35" s="115"/>
      <c r="AU35" s="125"/>
      <c r="AV35" s="125"/>
      <c r="AW35" s="126"/>
      <c r="AX35" s="126"/>
      <c r="AY35" s="47"/>
      <c r="AZ35" s="47"/>
      <c r="BA35" s="47"/>
      <c r="BB35" s="47"/>
      <c r="BC35" s="47"/>
      <c r="BD35" s="47"/>
      <c r="BE35" s="47"/>
      <c r="BF35" s="115"/>
      <c r="BG35" s="115"/>
      <c r="BH35" s="115"/>
      <c r="BI35" s="115"/>
      <c r="BJ35" s="115"/>
      <c r="BK35" s="115"/>
      <c r="BL35" s="115"/>
    </row>
    <row r="36" spans="1:64" ht="18" customHeight="1">
      <c r="A36" s="74"/>
      <c r="B36" s="120" t="s">
        <v>558</v>
      </c>
      <c r="C36" s="121"/>
      <c r="D36" s="121" t="s">
        <v>545</v>
      </c>
      <c r="E36" s="50"/>
      <c r="F36" s="121"/>
      <c r="G36" s="121"/>
      <c r="H36" s="121"/>
      <c r="I36" s="121"/>
      <c r="J36" s="121"/>
      <c r="K36" s="121"/>
      <c r="L36" s="121"/>
      <c r="M36" s="121"/>
      <c r="N36" s="121"/>
      <c r="O36" s="48"/>
      <c r="P36" s="93"/>
      <c r="Q36" s="93" t="str">
        <f t="shared" si="1"/>
        <v/>
      </c>
      <c r="R36" s="49" t="s">
        <v>655</v>
      </c>
      <c r="S36" s="93"/>
      <c r="T36" s="93"/>
      <c r="U36" s="50"/>
      <c r="V36" s="51"/>
      <c r="W36" s="93"/>
      <c r="X36" s="93" t="str">
        <f t="shared" si="2"/>
        <v/>
      </c>
      <c r="Y36" s="46" t="s">
        <v>656</v>
      </c>
      <c r="Z36" s="93"/>
      <c r="AA36" s="93"/>
      <c r="AB36" s="50"/>
      <c r="AC36" s="92"/>
      <c r="AD36" s="75"/>
      <c r="AF36" s="294" t="str">
        <f t="shared" si="3"/>
        <v/>
      </c>
      <c r="AG36" s="123"/>
      <c r="AH36" s="123"/>
      <c r="AI36" s="123"/>
      <c r="AJ36" s="123"/>
      <c r="AK36" s="123"/>
      <c r="AL36" s="123"/>
      <c r="AM36" s="123"/>
      <c r="AN36" s="116"/>
      <c r="AO36" s="116"/>
      <c r="AR36" s="115"/>
      <c r="AS36" s="115"/>
      <c r="AT36" s="115"/>
      <c r="AU36" s="47"/>
      <c r="AV36" s="47"/>
      <c r="AW36" s="47"/>
      <c r="AX36" s="47"/>
      <c r="AY36" s="47"/>
      <c r="AZ36" s="47"/>
      <c r="BA36" s="47"/>
      <c r="BB36" s="47"/>
      <c r="BC36" s="47"/>
      <c r="BD36" s="47"/>
      <c r="BE36" s="47"/>
      <c r="BF36" s="115"/>
      <c r="BG36" s="115"/>
      <c r="BH36" s="115"/>
      <c r="BI36" s="115"/>
      <c r="BJ36" s="115"/>
      <c r="BK36" s="115"/>
      <c r="BL36" s="115"/>
    </row>
    <row r="37" spans="1:64" ht="18" customHeight="1">
      <c r="A37" s="74"/>
      <c r="B37" s="120" t="s">
        <v>559</v>
      </c>
      <c r="C37" s="121"/>
      <c r="D37" s="121" t="s">
        <v>546</v>
      </c>
      <c r="E37" s="50"/>
      <c r="F37" s="121"/>
      <c r="G37" s="121"/>
      <c r="H37" s="121"/>
      <c r="I37" s="121"/>
      <c r="J37" s="121"/>
      <c r="K37" s="121"/>
      <c r="L37" s="121"/>
      <c r="M37" s="121"/>
      <c r="N37" s="121"/>
      <c r="O37" s="48"/>
      <c r="P37" s="93"/>
      <c r="Q37" s="93" t="str">
        <f t="shared" si="1"/>
        <v/>
      </c>
      <c r="R37" s="49" t="s">
        <v>655</v>
      </c>
      <c r="S37" s="93"/>
      <c r="T37" s="93"/>
      <c r="U37" s="50"/>
      <c r="V37" s="51"/>
      <c r="W37" s="93"/>
      <c r="X37" s="93" t="str">
        <f t="shared" si="2"/>
        <v/>
      </c>
      <c r="Y37" s="46" t="s">
        <v>656</v>
      </c>
      <c r="Z37" s="93"/>
      <c r="AA37" s="93"/>
      <c r="AB37" s="50"/>
      <c r="AC37" s="92"/>
      <c r="AD37" s="75"/>
      <c r="AF37" s="294" t="str">
        <f t="shared" si="3"/>
        <v/>
      </c>
      <c r="AG37" s="123"/>
      <c r="AH37" s="123"/>
      <c r="AI37" s="123"/>
      <c r="AJ37" s="123"/>
      <c r="AK37" s="123"/>
      <c r="AL37" s="123"/>
      <c r="AM37" s="127"/>
      <c r="AN37" s="65" t="s">
        <v>657</v>
      </c>
      <c r="AO37" s="77" t="s">
        <v>686</v>
      </c>
      <c r="AP37" s="115"/>
      <c r="AQ37" s="115"/>
      <c r="AR37" s="47"/>
      <c r="AS37" s="47"/>
      <c r="AT37" s="47"/>
      <c r="AU37" s="47"/>
      <c r="AV37" s="47"/>
      <c r="AW37" s="47"/>
      <c r="AX37" s="47" t="s">
        <v>686</v>
      </c>
      <c r="AZ37" s="47"/>
      <c r="BA37" s="47"/>
      <c r="BB37" s="47"/>
      <c r="BC37" s="115"/>
      <c r="BD37" s="115"/>
      <c r="BE37" s="115"/>
      <c r="BF37" s="115"/>
      <c r="BG37" s="115"/>
      <c r="BH37" s="115"/>
      <c r="BI37" s="115"/>
    </row>
    <row r="38" spans="1:64" ht="7.5" customHeight="1" thickBot="1">
      <c r="A38" s="74"/>
      <c r="B38" s="6"/>
      <c r="C38" s="6"/>
      <c r="D38" s="6"/>
      <c r="E38" s="6"/>
      <c r="F38" s="6"/>
      <c r="G38" s="6"/>
      <c r="H38" s="6"/>
      <c r="I38" s="6"/>
      <c r="J38" s="6"/>
      <c r="K38" s="6"/>
      <c r="L38" s="6"/>
      <c r="M38" s="6"/>
      <c r="N38" s="6"/>
      <c r="O38" s="657"/>
      <c r="P38" s="657"/>
      <c r="Q38" s="657"/>
      <c r="R38" s="657"/>
      <c r="S38" s="657"/>
      <c r="T38" s="657"/>
      <c r="U38" s="657"/>
      <c r="V38" s="657"/>
      <c r="W38" s="657"/>
      <c r="X38" s="657"/>
      <c r="Y38" s="657"/>
      <c r="Z38" s="657"/>
      <c r="AA38" s="657"/>
      <c r="AB38" s="657"/>
      <c r="AC38" s="657"/>
      <c r="AD38" s="75"/>
      <c r="AG38" s="128"/>
      <c r="AH38" s="128"/>
      <c r="AI38" s="128"/>
      <c r="AJ38" s="128"/>
      <c r="AK38" s="128"/>
      <c r="AL38" s="128"/>
      <c r="AM38" s="129"/>
      <c r="AN38" s="65" t="s">
        <v>658</v>
      </c>
      <c r="AO38" s="77" t="s">
        <v>687</v>
      </c>
      <c r="AP38" s="115"/>
      <c r="AQ38" s="115"/>
      <c r="AR38" s="47"/>
      <c r="AS38" s="47"/>
      <c r="AT38" s="47"/>
      <c r="AU38" s="47"/>
      <c r="AV38" s="47"/>
      <c r="AW38" s="47"/>
      <c r="AX38" s="47" t="s">
        <v>687</v>
      </c>
      <c r="AZ38" s="47"/>
      <c r="BA38" s="47"/>
      <c r="BB38" s="47"/>
      <c r="BC38" s="115"/>
      <c r="BD38" s="115"/>
      <c r="BE38" s="115"/>
      <c r="BF38" s="115"/>
      <c r="BG38" s="115"/>
      <c r="BH38" s="115"/>
      <c r="BI38" s="115"/>
    </row>
    <row r="39" spans="1:64" ht="16.5" customHeight="1">
      <c r="A39" s="643" t="s">
        <v>562</v>
      </c>
      <c r="B39" s="644"/>
      <c r="C39" s="644"/>
      <c r="D39" s="644"/>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D39" s="645"/>
      <c r="AN39" s="65" t="s">
        <v>659</v>
      </c>
      <c r="AO39" s="77" t="s">
        <v>688</v>
      </c>
      <c r="AP39" s="115"/>
      <c r="AQ39" s="115"/>
      <c r="AR39" s="47"/>
      <c r="AS39" s="47"/>
      <c r="AT39" s="47"/>
      <c r="AU39" s="47"/>
      <c r="AV39" s="47"/>
      <c r="AW39" s="47"/>
      <c r="AX39" s="47" t="s">
        <v>688</v>
      </c>
      <c r="AZ39" s="47"/>
      <c r="BA39" s="47"/>
      <c r="BB39" s="47"/>
      <c r="BC39" s="115"/>
      <c r="BD39" s="115"/>
      <c r="BE39" s="115"/>
      <c r="BF39" s="115"/>
      <c r="BG39" s="115"/>
      <c r="BH39" s="115"/>
      <c r="BI39" s="115"/>
    </row>
    <row r="40" spans="1:64" ht="16.5" customHeight="1">
      <c r="A40" s="646"/>
      <c r="B40" s="647"/>
      <c r="C40" s="647"/>
      <c r="D40" s="647"/>
      <c r="E40" s="647"/>
      <c r="F40" s="647"/>
      <c r="G40" s="647"/>
      <c r="H40" s="647"/>
      <c r="I40" s="647"/>
      <c r="J40" s="647"/>
      <c r="K40" s="647"/>
      <c r="L40" s="647"/>
      <c r="M40" s="647"/>
      <c r="N40" s="647"/>
      <c r="O40" s="647"/>
      <c r="P40" s="647"/>
      <c r="Q40" s="647"/>
      <c r="R40" s="647"/>
      <c r="S40" s="647"/>
      <c r="T40" s="647"/>
      <c r="U40" s="647"/>
      <c r="V40" s="647"/>
      <c r="W40" s="647"/>
      <c r="X40" s="647"/>
      <c r="Y40" s="647"/>
      <c r="Z40" s="647"/>
      <c r="AA40" s="647"/>
      <c r="AB40" s="647"/>
      <c r="AC40" s="647"/>
      <c r="AD40" s="648"/>
      <c r="AF40" s="294" t="s">
        <v>738</v>
      </c>
      <c r="AN40" s="65" t="s">
        <v>660</v>
      </c>
      <c r="AO40" s="77" t="s">
        <v>837</v>
      </c>
      <c r="AP40" s="115"/>
      <c r="AQ40" s="115"/>
      <c r="AR40" s="47"/>
      <c r="AS40" s="47"/>
      <c r="AT40" s="47"/>
      <c r="AU40" s="47"/>
      <c r="AV40" s="47"/>
      <c r="AW40" s="47"/>
      <c r="AX40" s="47" t="s">
        <v>838</v>
      </c>
      <c r="AZ40" s="47"/>
      <c r="BA40" s="47"/>
      <c r="BB40" s="47"/>
      <c r="BC40" s="115"/>
      <c r="BD40" s="115"/>
      <c r="BE40" s="115"/>
      <c r="BF40" s="115"/>
      <c r="BG40" s="115"/>
      <c r="BH40" s="115"/>
      <c r="BI40" s="115"/>
    </row>
    <row r="41" spans="1:64" ht="24.95" customHeight="1">
      <c r="A41" s="640" t="s">
        <v>726</v>
      </c>
      <c r="B41" s="641"/>
      <c r="C41" s="641"/>
      <c r="D41" s="641"/>
      <c r="E41" s="641"/>
      <c r="F41" s="641"/>
      <c r="G41" s="641"/>
      <c r="H41" s="641"/>
      <c r="I41" s="641"/>
      <c r="J41" s="641"/>
      <c r="K41" s="641"/>
      <c r="L41" s="641"/>
      <c r="M41" s="641"/>
      <c r="N41" s="641"/>
      <c r="O41" s="641"/>
      <c r="P41" s="642"/>
      <c r="Q41" s="637"/>
      <c r="R41" s="638"/>
      <c r="S41" s="638"/>
      <c r="T41" s="638"/>
      <c r="U41" s="638"/>
      <c r="V41" s="638"/>
      <c r="W41" s="638"/>
      <c r="X41" s="638"/>
      <c r="Y41" s="638"/>
      <c r="Z41" s="638"/>
      <c r="AA41" s="638"/>
      <c r="AB41" s="638"/>
      <c r="AC41" s="638"/>
      <c r="AD41" s="639"/>
      <c r="AF41" s="297" t="str">
        <f>IF(Q41="","",VLOOKUP(Q41,AN37:AO43,2,FALSE))</f>
        <v/>
      </c>
      <c r="AN41" s="65" t="s">
        <v>661</v>
      </c>
      <c r="AO41" s="77" t="s">
        <v>689</v>
      </c>
      <c r="AP41" s="115"/>
      <c r="AQ41" s="115"/>
      <c r="AR41" s="47"/>
      <c r="AS41" s="47"/>
      <c r="AT41" s="47"/>
      <c r="AU41" s="47"/>
      <c r="AV41" s="47"/>
      <c r="AW41" s="47"/>
      <c r="AX41" s="47" t="s">
        <v>689</v>
      </c>
      <c r="AZ41" s="47"/>
      <c r="BA41" s="47"/>
      <c r="BB41" s="47"/>
      <c r="BC41" s="115"/>
      <c r="BD41" s="115"/>
      <c r="BE41" s="115"/>
      <c r="BF41" s="115"/>
      <c r="BG41" s="115"/>
      <c r="BH41" s="115"/>
      <c r="BI41" s="115"/>
    </row>
    <row r="42" spans="1:64" ht="24.95" customHeight="1">
      <c r="A42" s="620" t="s">
        <v>727</v>
      </c>
      <c r="B42" s="621"/>
      <c r="C42" s="621"/>
      <c r="D42" s="621"/>
      <c r="E42" s="621"/>
      <c r="F42" s="621"/>
      <c r="G42" s="621"/>
      <c r="H42" s="621"/>
      <c r="I42" s="621"/>
      <c r="J42" s="621"/>
      <c r="K42" s="621"/>
      <c r="L42" s="621"/>
      <c r="M42" s="621"/>
      <c r="N42" s="621"/>
      <c r="O42" s="621"/>
      <c r="P42" s="622"/>
      <c r="Q42" s="632"/>
      <c r="R42" s="633"/>
      <c r="S42" s="633"/>
      <c r="T42" s="633"/>
      <c r="U42" s="633"/>
      <c r="V42" s="633"/>
      <c r="W42" s="633"/>
      <c r="X42" s="633"/>
      <c r="Y42" s="633"/>
      <c r="Z42" s="633"/>
      <c r="AA42" s="633"/>
      <c r="AB42" s="121" t="s">
        <v>236</v>
      </c>
      <c r="AC42" s="130"/>
      <c r="AD42" s="131"/>
      <c r="AN42" s="65" t="s">
        <v>662</v>
      </c>
      <c r="AO42" s="77" t="s">
        <v>690</v>
      </c>
      <c r="AP42" s="115"/>
      <c r="AQ42" s="115"/>
      <c r="AR42" s="47"/>
      <c r="AS42" s="47"/>
      <c r="AT42" s="47"/>
      <c r="AU42" s="47"/>
      <c r="AV42" s="47"/>
      <c r="AW42" s="47"/>
      <c r="AX42" s="47" t="s">
        <v>690</v>
      </c>
      <c r="AZ42" s="47"/>
      <c r="BA42" s="47"/>
      <c r="BB42" s="47"/>
      <c r="BC42" s="115"/>
      <c r="BD42" s="115"/>
      <c r="BE42" s="115"/>
      <c r="BF42" s="115"/>
      <c r="BG42" s="115"/>
      <c r="BH42" s="115"/>
      <c r="BI42" s="115"/>
    </row>
    <row r="43" spans="1:64" ht="24.75" customHeight="1" thickBot="1">
      <c r="A43" s="623" t="s">
        <v>728</v>
      </c>
      <c r="B43" s="624"/>
      <c r="C43" s="624"/>
      <c r="D43" s="624"/>
      <c r="E43" s="624"/>
      <c r="F43" s="624"/>
      <c r="G43" s="624"/>
      <c r="H43" s="624"/>
      <c r="I43" s="624"/>
      <c r="J43" s="624"/>
      <c r="K43" s="624"/>
      <c r="L43" s="624"/>
      <c r="M43" s="624"/>
      <c r="N43" s="624"/>
      <c r="O43" s="624"/>
      <c r="P43" s="625"/>
      <c r="Q43" s="630"/>
      <c r="R43" s="631"/>
      <c r="S43" s="631"/>
      <c r="T43" s="631"/>
      <c r="U43" s="631"/>
      <c r="V43" s="631"/>
      <c r="W43" s="631"/>
      <c r="X43" s="631"/>
      <c r="Y43" s="631"/>
      <c r="Z43" s="631"/>
      <c r="AA43" s="631"/>
      <c r="AB43" s="83" t="s">
        <v>236</v>
      </c>
      <c r="AC43" s="132"/>
      <c r="AD43" s="133"/>
      <c r="AN43" s="65" t="s">
        <v>663</v>
      </c>
      <c r="AO43" s="77" t="s">
        <v>72</v>
      </c>
      <c r="AP43" s="115"/>
      <c r="AQ43" s="115"/>
      <c r="AR43" s="47"/>
      <c r="AS43" s="47"/>
      <c r="AT43" s="47"/>
      <c r="AU43" s="47"/>
      <c r="AV43" s="47"/>
      <c r="AW43" s="47"/>
      <c r="AX43" s="47" t="s">
        <v>72</v>
      </c>
      <c r="AZ43" s="47"/>
      <c r="BA43" s="47"/>
      <c r="BB43" s="47"/>
      <c r="BC43" s="115"/>
      <c r="BD43" s="115"/>
      <c r="BE43" s="115"/>
      <c r="BF43" s="115"/>
      <c r="BG43" s="115"/>
      <c r="BH43" s="115"/>
      <c r="BI43" s="115"/>
    </row>
    <row r="44" spans="1:64" ht="18.75" customHeight="1">
      <c r="AN44" s="2"/>
      <c r="AO44" s="2"/>
      <c r="AP44" s="115"/>
      <c r="AQ44" s="115"/>
      <c r="AR44" s="47"/>
      <c r="AS44" s="47"/>
      <c r="AT44" s="47"/>
      <c r="AU44" s="47"/>
      <c r="AV44" s="47"/>
      <c r="AW44" s="47"/>
      <c r="AX44" s="47"/>
      <c r="AY44" s="47"/>
      <c r="AZ44" s="47"/>
      <c r="BA44" s="47"/>
      <c r="BB44" s="47"/>
      <c r="BC44" s="115"/>
      <c r="BD44" s="115"/>
      <c r="BE44" s="115"/>
      <c r="BF44" s="115"/>
      <c r="BG44" s="115"/>
      <c r="BH44" s="115"/>
      <c r="BI44" s="115"/>
    </row>
    <row r="45" spans="1:64" ht="18.75" customHeight="1">
      <c r="AN45" s="2"/>
      <c r="AO45" s="2"/>
      <c r="AP45" s="115"/>
      <c r="AQ45" s="115"/>
      <c r="AR45" s="47"/>
      <c r="AS45" s="47"/>
      <c r="AT45" s="47"/>
      <c r="AU45" s="47"/>
      <c r="AV45" s="47"/>
      <c r="AW45" s="47"/>
      <c r="AX45" s="47"/>
      <c r="AY45" s="47"/>
      <c r="AZ45" s="47"/>
      <c r="BA45" s="47"/>
      <c r="BB45" s="47"/>
      <c r="BC45" s="115"/>
      <c r="BD45" s="115"/>
      <c r="BE45" s="115"/>
      <c r="BF45" s="115"/>
      <c r="BG45" s="115"/>
      <c r="BH45" s="115"/>
      <c r="BI45" s="115"/>
    </row>
    <row r="46" spans="1:64" ht="18.75" customHeight="1">
      <c r="AN46" s="2"/>
      <c r="AO46" s="2"/>
      <c r="AP46" s="115"/>
      <c r="AQ46" s="115"/>
      <c r="AR46" s="47"/>
      <c r="AS46" s="47"/>
      <c r="AT46" s="47"/>
      <c r="AU46" s="47"/>
      <c r="AV46" s="47"/>
      <c r="AW46" s="47"/>
      <c r="AX46" s="47"/>
      <c r="AY46" s="47"/>
      <c r="AZ46" s="47"/>
      <c r="BA46" s="47"/>
      <c r="BB46" s="47"/>
      <c r="BC46" s="115"/>
      <c r="BD46" s="115"/>
      <c r="BE46" s="115"/>
      <c r="BF46" s="115"/>
      <c r="BG46" s="115"/>
      <c r="BH46" s="115"/>
      <c r="BI46" s="115"/>
    </row>
    <row r="47" spans="1:64" ht="18.75" customHeight="1">
      <c r="AN47" s="2"/>
      <c r="AP47" s="115"/>
      <c r="AQ47" s="115"/>
      <c r="AR47" s="47"/>
      <c r="AS47" s="47"/>
      <c r="AT47" s="47"/>
      <c r="AU47" s="47"/>
      <c r="AV47" s="47"/>
      <c r="AW47" s="47"/>
      <c r="AX47" s="47"/>
      <c r="AY47" s="47"/>
      <c r="AZ47" s="47"/>
      <c r="BA47" s="47"/>
      <c r="BB47" s="47"/>
      <c r="BC47" s="115"/>
      <c r="BD47" s="115"/>
      <c r="BE47" s="115"/>
      <c r="BF47" s="115"/>
      <c r="BG47" s="115"/>
      <c r="BH47" s="115"/>
      <c r="BI47" s="115"/>
    </row>
    <row r="48" spans="1:64" ht="18.75" customHeight="1">
      <c r="AN48" s="2"/>
      <c r="AP48" s="115"/>
      <c r="AQ48" s="115"/>
      <c r="AR48" s="47"/>
      <c r="AS48" s="47"/>
      <c r="AT48" s="47"/>
      <c r="AU48" s="47"/>
      <c r="AV48" s="47"/>
      <c r="AW48" s="47"/>
      <c r="AX48" s="47"/>
      <c r="AY48" s="47"/>
      <c r="AZ48" s="47"/>
      <c r="BA48" s="47"/>
      <c r="BB48" s="47"/>
      <c r="BC48" s="115"/>
      <c r="BD48" s="115"/>
      <c r="BE48" s="115"/>
      <c r="BF48" s="115"/>
      <c r="BG48" s="115"/>
      <c r="BH48" s="115"/>
      <c r="BI48" s="115"/>
    </row>
    <row r="49" spans="40:61" ht="18.75" customHeight="1">
      <c r="AN49" s="2"/>
      <c r="AP49" s="115"/>
      <c r="AQ49" s="115"/>
      <c r="AR49" s="47"/>
      <c r="AS49" s="47"/>
      <c r="AT49" s="47"/>
      <c r="AU49" s="47"/>
      <c r="AV49" s="47"/>
      <c r="AW49" s="47"/>
      <c r="AX49" s="47"/>
      <c r="AY49" s="47"/>
      <c r="AZ49" s="47"/>
      <c r="BA49" s="47"/>
      <c r="BB49" s="47"/>
      <c r="BC49" s="115"/>
      <c r="BD49" s="115"/>
      <c r="BE49" s="115"/>
      <c r="BF49" s="115"/>
      <c r="BG49" s="115"/>
      <c r="BH49" s="115"/>
      <c r="BI49" s="115"/>
    </row>
    <row r="50" spans="40:61" ht="18.75" customHeight="1">
      <c r="AN50" s="65"/>
      <c r="AO50" s="115"/>
      <c r="AP50" s="115"/>
      <c r="AQ50" s="115"/>
      <c r="AR50" s="47"/>
      <c r="AS50" s="47"/>
      <c r="AT50" s="47"/>
      <c r="AU50" s="47"/>
      <c r="AV50" s="47"/>
      <c r="AW50" s="47"/>
      <c r="AX50" s="47"/>
      <c r="AY50" s="47"/>
      <c r="AZ50" s="47"/>
      <c r="BA50" s="47"/>
      <c r="BB50" s="47"/>
      <c r="BC50" s="115"/>
      <c r="BD50" s="115"/>
      <c r="BE50" s="115"/>
      <c r="BF50" s="115"/>
      <c r="BG50" s="115"/>
      <c r="BH50" s="115"/>
      <c r="BI50" s="115"/>
    </row>
    <row r="51" spans="40:61" ht="18.75" customHeight="1">
      <c r="AN51" s="2"/>
      <c r="AO51" s="115"/>
      <c r="AP51" s="115"/>
      <c r="AQ51" s="115"/>
      <c r="AR51" s="47"/>
      <c r="AS51" s="47"/>
      <c r="AT51" s="47"/>
      <c r="AU51" s="47"/>
      <c r="AV51" s="47"/>
      <c r="AW51" s="47"/>
      <c r="AX51" s="47"/>
      <c r="AY51" s="47"/>
      <c r="AZ51" s="47"/>
      <c r="BA51" s="47"/>
      <c r="BB51" s="47"/>
      <c r="BC51" s="115"/>
      <c r="BD51" s="115"/>
      <c r="BE51" s="115"/>
      <c r="BF51" s="115"/>
      <c r="BG51" s="115"/>
      <c r="BH51" s="115"/>
      <c r="BI51" s="115"/>
    </row>
    <row r="52" spans="40:61" ht="18.75" customHeight="1">
      <c r="AN52" s="2"/>
      <c r="AO52" s="115"/>
      <c r="AP52" s="115"/>
      <c r="AQ52" s="115"/>
      <c r="AR52" s="47"/>
      <c r="AS52" s="47"/>
      <c r="AT52" s="47"/>
      <c r="AU52" s="47"/>
      <c r="AV52" s="47"/>
      <c r="AW52" s="47"/>
      <c r="AX52" s="47"/>
      <c r="AY52" s="47"/>
      <c r="AZ52" s="47"/>
      <c r="BA52" s="47"/>
      <c r="BB52" s="47"/>
      <c r="BC52" s="115"/>
      <c r="BD52" s="115"/>
      <c r="BE52" s="115"/>
      <c r="BF52" s="115"/>
      <c r="BG52" s="115"/>
      <c r="BH52" s="115"/>
      <c r="BI52" s="115"/>
    </row>
    <row r="53" spans="40:61" ht="18.75" customHeight="1">
      <c r="AN53" s="2"/>
      <c r="AO53" s="115"/>
      <c r="AP53" s="115"/>
      <c r="AQ53" s="115"/>
      <c r="AR53" s="47"/>
      <c r="AS53" s="47"/>
      <c r="AT53" s="47"/>
      <c r="AU53" s="47"/>
      <c r="AV53" s="47"/>
      <c r="AW53" s="47"/>
      <c r="AX53" s="47"/>
      <c r="AY53" s="47"/>
      <c r="AZ53" s="47"/>
      <c r="BA53" s="47"/>
      <c r="BB53" s="47"/>
      <c r="BC53" s="115"/>
      <c r="BD53" s="115"/>
      <c r="BE53" s="115"/>
      <c r="BF53" s="115"/>
      <c r="BG53" s="115"/>
      <c r="BH53" s="115"/>
      <c r="BI53" s="115"/>
    </row>
    <row r="54" spans="40:61" ht="18.75" customHeight="1">
      <c r="AN54" s="2"/>
      <c r="AO54" s="115"/>
      <c r="AP54" s="115"/>
      <c r="AQ54" s="115"/>
      <c r="AR54" s="47"/>
      <c r="AS54" s="47"/>
      <c r="AT54" s="47"/>
      <c r="AU54" s="47"/>
      <c r="AV54" s="47"/>
      <c r="AW54" s="47"/>
      <c r="AX54" s="47"/>
      <c r="AY54" s="47"/>
      <c r="AZ54" s="47"/>
      <c r="BA54" s="47"/>
      <c r="BB54" s="47"/>
      <c r="BC54" s="115"/>
      <c r="BD54" s="115"/>
      <c r="BE54" s="115"/>
      <c r="BF54" s="115"/>
      <c r="BG54" s="115"/>
      <c r="BH54" s="115"/>
      <c r="BI54" s="115"/>
    </row>
    <row r="55" spans="40:61" ht="18.75" customHeight="1">
      <c r="AN55" s="2"/>
      <c r="AO55" s="115"/>
      <c r="AP55" s="115"/>
      <c r="AQ55" s="115"/>
      <c r="AR55" s="47"/>
      <c r="AS55" s="47"/>
      <c r="AT55" s="47"/>
      <c r="AU55" s="47"/>
      <c r="AV55" s="47"/>
      <c r="AW55" s="47"/>
      <c r="AX55" s="47"/>
      <c r="AY55" s="47"/>
      <c r="AZ55" s="47"/>
      <c r="BA55" s="47"/>
      <c r="BB55" s="47"/>
      <c r="BC55" s="115"/>
      <c r="BD55" s="115"/>
      <c r="BE55" s="115"/>
      <c r="BF55" s="115"/>
      <c r="BG55" s="115"/>
      <c r="BH55" s="115"/>
      <c r="BI55" s="115"/>
    </row>
    <row r="56" spans="40:61" ht="18.75" customHeight="1">
      <c r="AN56" s="2"/>
      <c r="AO56" s="115"/>
      <c r="AP56" s="115"/>
      <c r="AQ56" s="115"/>
      <c r="AR56" s="47"/>
      <c r="AS56" s="47"/>
      <c r="AT56" s="47"/>
      <c r="AU56" s="47"/>
      <c r="AV56" s="47"/>
      <c r="AW56" s="47"/>
      <c r="AX56" s="47"/>
      <c r="AY56" s="47"/>
      <c r="AZ56" s="47"/>
      <c r="BA56" s="47"/>
      <c r="BB56" s="47"/>
      <c r="BC56" s="115"/>
      <c r="BD56" s="115"/>
      <c r="BE56" s="115"/>
      <c r="BF56" s="115"/>
      <c r="BG56" s="115"/>
      <c r="BH56" s="115"/>
      <c r="BI56" s="115"/>
    </row>
    <row r="57" spans="40:61" ht="18.75" customHeight="1">
      <c r="AN57" s="2"/>
      <c r="AO57" s="115"/>
      <c r="AP57" s="115"/>
      <c r="AQ57" s="115"/>
      <c r="AR57" s="47"/>
      <c r="AS57" s="47"/>
      <c r="AT57" s="47"/>
      <c r="AU57" s="47"/>
      <c r="AV57" s="47"/>
      <c r="AW57" s="47"/>
      <c r="AX57" s="47"/>
      <c r="AY57" s="47"/>
      <c r="AZ57" s="47"/>
      <c r="BA57" s="47"/>
      <c r="BB57" s="47"/>
      <c r="BC57" s="115"/>
      <c r="BD57" s="115"/>
      <c r="BE57" s="115"/>
      <c r="BF57" s="115"/>
      <c r="BG57" s="115"/>
      <c r="BH57" s="115"/>
      <c r="BI57" s="115"/>
    </row>
    <row r="58" spans="40:61" ht="18.75" customHeight="1">
      <c r="AN58" s="2"/>
      <c r="AO58" s="115"/>
      <c r="AP58" s="115"/>
      <c r="AQ58" s="115"/>
      <c r="AR58" s="47"/>
      <c r="AS58" s="47"/>
      <c r="AT58" s="47"/>
      <c r="AU58" s="47"/>
      <c r="AV58" s="47"/>
      <c r="AW58" s="47"/>
      <c r="AX58" s="47"/>
      <c r="AY58" s="47"/>
      <c r="AZ58" s="47"/>
      <c r="BA58" s="47"/>
      <c r="BB58" s="47"/>
      <c r="BC58" s="115"/>
      <c r="BD58" s="115"/>
      <c r="BE58" s="115"/>
      <c r="BF58" s="115"/>
      <c r="BG58" s="115"/>
      <c r="BH58" s="115"/>
      <c r="BI58" s="115"/>
    </row>
    <row r="59" spans="40:61" ht="18.75" customHeight="1">
      <c r="AN59" s="2"/>
      <c r="AO59" s="115"/>
      <c r="AP59" s="115"/>
      <c r="AQ59" s="115"/>
      <c r="AR59" s="47"/>
      <c r="AS59" s="47"/>
      <c r="AT59" s="47"/>
      <c r="AU59" s="47"/>
      <c r="AV59" s="47"/>
      <c r="AW59" s="47"/>
      <c r="AX59" s="47"/>
      <c r="AY59" s="47"/>
      <c r="AZ59" s="47"/>
      <c r="BA59" s="47"/>
      <c r="BB59" s="47"/>
      <c r="BC59" s="115"/>
      <c r="BD59" s="115"/>
      <c r="BE59" s="115"/>
      <c r="BF59" s="115"/>
      <c r="BG59" s="115"/>
      <c r="BH59" s="115"/>
      <c r="BI59" s="115"/>
    </row>
    <row r="60" spans="40:61" ht="18.75" customHeight="1">
      <c r="AN60" s="2"/>
      <c r="AO60" s="115"/>
      <c r="AP60" s="115"/>
      <c r="AQ60" s="115"/>
      <c r="AR60" s="47"/>
      <c r="AS60" s="47"/>
      <c r="AT60" s="47"/>
      <c r="AU60" s="47"/>
      <c r="AV60" s="47"/>
      <c r="AW60" s="47"/>
      <c r="AX60" s="47"/>
      <c r="AY60" s="47"/>
      <c r="AZ60" s="47"/>
      <c r="BA60" s="47"/>
      <c r="BB60" s="47"/>
      <c r="BC60" s="115"/>
      <c r="BD60" s="115"/>
      <c r="BE60" s="115"/>
      <c r="BF60" s="115"/>
      <c r="BG60" s="115"/>
      <c r="BH60" s="115"/>
      <c r="BI60" s="115"/>
    </row>
    <row r="61" spans="40:61" ht="18.75" customHeight="1">
      <c r="AN61" s="2"/>
      <c r="AO61" s="115"/>
      <c r="AP61" s="115"/>
      <c r="AQ61" s="115"/>
      <c r="AR61" s="47"/>
      <c r="AS61" s="47"/>
      <c r="AT61" s="47"/>
      <c r="AU61" s="47"/>
      <c r="AV61" s="47"/>
      <c r="AW61" s="47"/>
      <c r="AX61" s="47"/>
      <c r="AY61" s="47"/>
      <c r="AZ61" s="47"/>
      <c r="BA61" s="47"/>
      <c r="BB61" s="47"/>
      <c r="BC61" s="115"/>
      <c r="BD61" s="115"/>
      <c r="BE61" s="115"/>
      <c r="BF61" s="115"/>
      <c r="BG61" s="115"/>
      <c r="BH61" s="115"/>
      <c r="BI61" s="115"/>
    </row>
    <row r="62" spans="40:61" ht="18.75" customHeight="1">
      <c r="AN62" s="2"/>
      <c r="AO62" s="115"/>
      <c r="AP62" s="115"/>
      <c r="AQ62" s="115"/>
      <c r="AR62" s="47"/>
      <c r="AS62" s="47"/>
      <c r="AT62" s="47"/>
      <c r="AU62" s="47"/>
      <c r="AV62" s="47"/>
      <c r="AW62" s="47"/>
      <c r="AX62" s="47"/>
      <c r="AY62" s="47"/>
      <c r="AZ62" s="47"/>
      <c r="BA62" s="47"/>
      <c r="BB62" s="47"/>
      <c r="BC62" s="115"/>
      <c r="BD62" s="115"/>
      <c r="BE62" s="115"/>
      <c r="BF62" s="115"/>
      <c r="BG62" s="115"/>
      <c r="BH62" s="115"/>
      <c r="BI62" s="115"/>
    </row>
    <row r="63" spans="40:61" ht="18.75" customHeight="1">
      <c r="AN63" s="2"/>
      <c r="AO63" s="115"/>
      <c r="AP63" s="115"/>
      <c r="AQ63" s="115"/>
      <c r="AR63" s="47"/>
      <c r="AS63" s="47"/>
      <c r="AT63" s="47"/>
      <c r="AU63" s="47"/>
      <c r="AV63" s="47"/>
      <c r="AW63" s="47"/>
      <c r="AX63" s="47"/>
      <c r="AY63" s="47"/>
      <c r="AZ63" s="47"/>
      <c r="BA63" s="47"/>
      <c r="BB63" s="47"/>
      <c r="BC63" s="115"/>
      <c r="BD63" s="115"/>
      <c r="BE63" s="115"/>
      <c r="BF63" s="115"/>
      <c r="BG63" s="115"/>
      <c r="BH63" s="115"/>
      <c r="BI63" s="115"/>
    </row>
    <row r="64" spans="40:61" ht="18.75" customHeight="1">
      <c r="AN64" s="2"/>
      <c r="AO64" s="115"/>
      <c r="AP64" s="115"/>
      <c r="AQ64" s="115"/>
      <c r="AR64" s="47"/>
      <c r="AS64" s="47"/>
      <c r="AT64" s="47"/>
      <c r="AU64" s="47"/>
      <c r="AV64" s="47"/>
      <c r="AW64" s="47"/>
      <c r="AX64" s="47"/>
      <c r="AY64" s="47"/>
      <c r="AZ64" s="47"/>
      <c r="BA64" s="47"/>
      <c r="BB64" s="47"/>
      <c r="BC64" s="115"/>
      <c r="BD64" s="115"/>
      <c r="BE64" s="115"/>
      <c r="BF64" s="115"/>
      <c r="BG64" s="115"/>
      <c r="BH64" s="115"/>
      <c r="BI64" s="115"/>
    </row>
    <row r="65" spans="40:61" ht="18.75" customHeight="1">
      <c r="AN65" s="2"/>
      <c r="AO65" s="115"/>
      <c r="AP65" s="115"/>
      <c r="AQ65" s="115"/>
      <c r="AR65" s="47"/>
      <c r="AS65" s="47"/>
      <c r="AT65" s="47"/>
      <c r="AU65" s="47"/>
      <c r="AV65" s="47"/>
      <c r="AW65" s="47"/>
      <c r="AX65" s="47"/>
      <c r="AY65" s="47"/>
      <c r="AZ65" s="47"/>
      <c r="BA65" s="47"/>
      <c r="BB65" s="47"/>
      <c r="BC65" s="115"/>
      <c r="BD65" s="115"/>
      <c r="BE65" s="115"/>
      <c r="BF65" s="115"/>
      <c r="BG65" s="115"/>
      <c r="BH65" s="115"/>
      <c r="BI65" s="115"/>
    </row>
    <row r="66" spans="40:61" ht="18.75" customHeight="1">
      <c r="AN66" s="2"/>
      <c r="AO66" s="115"/>
      <c r="AP66" s="115"/>
      <c r="AQ66" s="115"/>
      <c r="AR66" s="47"/>
      <c r="AS66" s="47"/>
      <c r="AT66" s="47"/>
      <c r="AU66" s="47"/>
      <c r="AV66" s="47"/>
      <c r="AW66" s="47"/>
      <c r="AX66" s="47"/>
      <c r="AY66" s="47"/>
      <c r="AZ66" s="47"/>
      <c r="BA66" s="47"/>
      <c r="BB66" s="47"/>
      <c r="BC66" s="115"/>
      <c r="BD66" s="115"/>
      <c r="BE66" s="115"/>
      <c r="BF66" s="115"/>
      <c r="BG66" s="115"/>
      <c r="BH66" s="115"/>
      <c r="BI66" s="115"/>
    </row>
    <row r="67" spans="40:61" ht="18.75" customHeight="1">
      <c r="AN67" s="2"/>
      <c r="AO67" s="115"/>
      <c r="AP67" s="115"/>
      <c r="AQ67" s="115"/>
      <c r="AR67" s="47"/>
      <c r="AS67" s="47"/>
      <c r="AT67" s="47"/>
      <c r="AU67" s="47"/>
      <c r="AV67" s="47"/>
      <c r="AW67" s="47"/>
      <c r="AX67" s="47"/>
      <c r="AY67" s="47"/>
      <c r="AZ67" s="47"/>
      <c r="BA67" s="47"/>
      <c r="BB67" s="47"/>
      <c r="BC67" s="115"/>
      <c r="BD67" s="115"/>
      <c r="BE67" s="115"/>
      <c r="BF67" s="115"/>
      <c r="BG67" s="115"/>
      <c r="BH67" s="115"/>
      <c r="BI67" s="115"/>
    </row>
    <row r="68" spans="40:61" ht="18.75" customHeight="1">
      <c r="AN68" s="2"/>
      <c r="AO68" s="115"/>
      <c r="AP68" s="115"/>
      <c r="AQ68" s="115"/>
      <c r="AR68" s="47"/>
      <c r="AS68" s="47"/>
      <c r="AT68" s="47"/>
      <c r="AU68" s="47"/>
      <c r="AV68" s="47"/>
      <c r="AW68" s="47"/>
      <c r="AX68" s="47"/>
      <c r="AY68" s="47"/>
      <c r="AZ68" s="47"/>
      <c r="BA68" s="47"/>
      <c r="BB68" s="47"/>
      <c r="BC68" s="115"/>
      <c r="BD68" s="115"/>
      <c r="BE68" s="115"/>
      <c r="BF68" s="115"/>
      <c r="BG68" s="115"/>
      <c r="BH68" s="115"/>
      <c r="BI68" s="115"/>
    </row>
    <row r="69" spans="40:61" ht="18.75" customHeight="1">
      <c r="AN69" s="2"/>
      <c r="AO69" s="115"/>
      <c r="AP69" s="115"/>
      <c r="AQ69" s="115"/>
      <c r="AR69" s="47"/>
      <c r="AS69" s="47"/>
      <c r="AT69" s="47"/>
      <c r="AU69" s="47"/>
      <c r="AV69" s="47"/>
      <c r="AW69" s="47"/>
      <c r="AX69" s="47"/>
      <c r="AY69" s="47"/>
      <c r="AZ69" s="47"/>
      <c r="BA69" s="47"/>
      <c r="BB69" s="47"/>
      <c r="BC69" s="115"/>
      <c r="BD69" s="115"/>
      <c r="BE69" s="115"/>
      <c r="BF69" s="115"/>
      <c r="BG69" s="115"/>
      <c r="BH69" s="115"/>
      <c r="BI69" s="115"/>
    </row>
    <row r="70" spans="40:61" ht="18.75" customHeight="1">
      <c r="AN70" s="2"/>
      <c r="AO70" s="115"/>
      <c r="AP70" s="115"/>
      <c r="AQ70" s="115"/>
      <c r="AR70" s="47"/>
      <c r="AS70" s="47"/>
      <c r="AT70" s="47"/>
      <c r="AU70" s="47"/>
      <c r="AV70" s="47"/>
      <c r="AW70" s="47"/>
      <c r="AX70" s="47"/>
      <c r="AY70" s="47"/>
      <c r="AZ70" s="47"/>
      <c r="BA70" s="47"/>
      <c r="BB70" s="47"/>
      <c r="BC70" s="115"/>
      <c r="BD70" s="115"/>
      <c r="BE70" s="115"/>
      <c r="BF70" s="115"/>
      <c r="BG70" s="115"/>
      <c r="BH70" s="115"/>
      <c r="BI70" s="115"/>
    </row>
    <row r="71" spans="40:61" ht="18.75" customHeight="1">
      <c r="AN71" s="2"/>
      <c r="AO71" s="115"/>
      <c r="AP71" s="115"/>
      <c r="AQ71" s="115"/>
      <c r="AR71" s="47"/>
      <c r="AS71" s="47"/>
      <c r="AT71" s="47"/>
      <c r="AU71" s="47"/>
      <c r="AV71" s="47"/>
      <c r="AW71" s="47"/>
      <c r="AX71" s="47"/>
      <c r="AY71" s="47"/>
      <c r="AZ71" s="47"/>
      <c r="BA71" s="47"/>
      <c r="BB71" s="47"/>
      <c r="BC71" s="115"/>
      <c r="BD71" s="115"/>
      <c r="BE71" s="115"/>
      <c r="BF71" s="115"/>
      <c r="BG71" s="115"/>
      <c r="BH71" s="115"/>
      <c r="BI71" s="115"/>
    </row>
    <row r="72" spans="40:61" ht="18.75" customHeight="1">
      <c r="AN72" s="2"/>
      <c r="AO72" s="115"/>
      <c r="AP72" s="115"/>
      <c r="AQ72" s="115"/>
      <c r="AR72" s="47"/>
      <c r="AS72" s="47"/>
      <c r="AT72" s="47"/>
      <c r="AU72" s="47"/>
      <c r="AV72" s="47"/>
      <c r="AW72" s="47"/>
      <c r="AX72" s="47"/>
      <c r="AY72" s="47"/>
      <c r="AZ72" s="47"/>
      <c r="BA72" s="47"/>
      <c r="BB72" s="47"/>
      <c r="BC72" s="115"/>
      <c r="BD72" s="115"/>
      <c r="BE72" s="115"/>
      <c r="BF72" s="115"/>
      <c r="BG72" s="115"/>
      <c r="BH72" s="115"/>
      <c r="BI72" s="115"/>
    </row>
    <row r="73" spans="40:61" ht="18.75" customHeight="1">
      <c r="AN73" s="2"/>
      <c r="AO73" s="115"/>
      <c r="AP73" s="115"/>
      <c r="AQ73" s="115"/>
      <c r="AR73" s="47"/>
      <c r="AS73" s="47"/>
      <c r="AT73" s="47"/>
      <c r="AU73" s="47"/>
      <c r="AV73" s="47"/>
      <c r="AW73" s="47"/>
      <c r="AX73" s="47"/>
      <c r="AY73" s="47"/>
      <c r="AZ73" s="47"/>
      <c r="BA73" s="47"/>
      <c r="BB73" s="47"/>
      <c r="BC73" s="115"/>
      <c r="BD73" s="115"/>
      <c r="BE73" s="115"/>
      <c r="BF73" s="115"/>
      <c r="BG73" s="115"/>
      <c r="BH73" s="115"/>
      <c r="BI73" s="115"/>
    </row>
    <row r="74" spans="40:61" ht="18.75" customHeight="1">
      <c r="AN74" s="2"/>
      <c r="AO74" s="115"/>
      <c r="AP74" s="115"/>
      <c r="AQ74" s="115"/>
      <c r="AR74" s="47"/>
      <c r="AS74" s="47"/>
      <c r="AT74" s="47"/>
      <c r="AU74" s="47"/>
      <c r="AV74" s="47"/>
      <c r="AW74" s="47"/>
      <c r="AX74" s="47"/>
      <c r="AY74" s="47"/>
      <c r="AZ74" s="47"/>
      <c r="BA74" s="47"/>
      <c r="BB74" s="47"/>
      <c r="BC74" s="115"/>
      <c r="BD74" s="115"/>
      <c r="BE74" s="115"/>
      <c r="BF74" s="115"/>
      <c r="BG74" s="115"/>
      <c r="BH74" s="115"/>
      <c r="BI74" s="115"/>
    </row>
    <row r="75" spans="40:61" ht="18.75" customHeight="1">
      <c r="AN75" s="2"/>
      <c r="AO75" s="115"/>
      <c r="AP75" s="115"/>
      <c r="AQ75" s="115"/>
      <c r="AR75" s="47"/>
      <c r="AS75" s="47"/>
      <c r="AT75" s="47"/>
      <c r="AU75" s="47"/>
      <c r="AV75" s="47"/>
      <c r="AW75" s="47"/>
      <c r="AX75" s="47"/>
      <c r="AY75" s="47"/>
      <c r="AZ75" s="47"/>
      <c r="BA75" s="47"/>
      <c r="BB75" s="47"/>
      <c r="BC75" s="115"/>
      <c r="BD75" s="115"/>
      <c r="BE75" s="115"/>
      <c r="BF75" s="115"/>
      <c r="BG75" s="115"/>
      <c r="BH75" s="115"/>
      <c r="BI75" s="115"/>
    </row>
    <row r="76" spans="40:61" ht="18.75" customHeight="1">
      <c r="AN76" s="2"/>
      <c r="AO76" s="115"/>
      <c r="AP76" s="115"/>
      <c r="AQ76" s="115"/>
      <c r="AR76" s="47"/>
      <c r="AS76" s="47"/>
      <c r="AT76" s="47"/>
      <c r="AU76" s="47"/>
      <c r="AV76" s="47"/>
      <c r="AW76" s="47"/>
      <c r="AX76" s="47"/>
      <c r="AY76" s="47"/>
      <c r="AZ76" s="47"/>
      <c r="BA76" s="47"/>
      <c r="BB76" s="47"/>
      <c r="BC76" s="115"/>
      <c r="BD76" s="115"/>
      <c r="BE76" s="115"/>
      <c r="BF76" s="115"/>
      <c r="BG76" s="115"/>
      <c r="BH76" s="115"/>
      <c r="BI76" s="115"/>
    </row>
    <row r="77" spans="40:61" ht="18.75" customHeight="1">
      <c r="AN77" s="2"/>
      <c r="AO77" s="115"/>
      <c r="AP77" s="115"/>
      <c r="AQ77" s="115"/>
      <c r="AR77" s="47"/>
      <c r="AS77" s="47"/>
      <c r="AT77" s="47"/>
      <c r="AU77" s="47"/>
      <c r="AV77" s="47"/>
      <c r="AW77" s="47"/>
      <c r="AX77" s="47"/>
      <c r="AY77" s="47"/>
      <c r="AZ77" s="47"/>
      <c r="BA77" s="47"/>
      <c r="BB77" s="47"/>
      <c r="BC77" s="115"/>
      <c r="BD77" s="115"/>
      <c r="BE77" s="115"/>
      <c r="BF77" s="115"/>
      <c r="BG77" s="115"/>
      <c r="BH77" s="115"/>
      <c r="BI77" s="115"/>
    </row>
    <row r="78" spans="40:61" ht="18.75" customHeight="1">
      <c r="AN78" s="2"/>
      <c r="AO78" s="115"/>
      <c r="AP78" s="115"/>
      <c r="AQ78" s="115"/>
      <c r="AR78" s="47"/>
      <c r="AS78" s="47"/>
      <c r="AT78" s="47"/>
      <c r="AU78" s="47"/>
      <c r="AV78" s="47"/>
      <c r="AW78" s="47"/>
      <c r="AX78" s="47"/>
      <c r="AY78" s="47"/>
      <c r="AZ78" s="47"/>
      <c r="BA78" s="47"/>
      <c r="BB78" s="47"/>
      <c r="BC78" s="115"/>
      <c r="BD78" s="115"/>
      <c r="BE78" s="115"/>
      <c r="BF78" s="115"/>
      <c r="BG78" s="115"/>
      <c r="BH78" s="115"/>
      <c r="BI78" s="115"/>
    </row>
    <row r="79" spans="40:61" ht="18.75" customHeight="1">
      <c r="AN79" s="2"/>
      <c r="AO79" s="115"/>
      <c r="AP79" s="115"/>
      <c r="AQ79" s="115"/>
      <c r="AR79" s="47"/>
      <c r="AS79" s="47"/>
      <c r="AT79" s="47"/>
      <c r="AU79" s="47"/>
      <c r="AV79" s="47"/>
      <c r="AW79" s="47"/>
      <c r="AX79" s="47"/>
      <c r="AY79" s="47"/>
      <c r="AZ79" s="47"/>
      <c r="BA79" s="47"/>
      <c r="BB79" s="47"/>
      <c r="BC79" s="115"/>
      <c r="BD79" s="115"/>
      <c r="BE79" s="115"/>
      <c r="BF79" s="115"/>
      <c r="BG79" s="115"/>
      <c r="BH79" s="115"/>
      <c r="BI79" s="115"/>
    </row>
    <row r="80" spans="40:61" ht="18.75" customHeight="1">
      <c r="AN80" s="2"/>
      <c r="AO80" s="115"/>
      <c r="AP80" s="115"/>
      <c r="AQ80" s="115"/>
      <c r="AR80" s="47"/>
      <c r="AS80" s="47"/>
      <c r="AT80" s="47"/>
      <c r="AU80" s="47"/>
      <c r="AV80" s="47"/>
      <c r="AW80" s="47"/>
      <c r="AX80" s="47"/>
      <c r="AY80" s="47"/>
      <c r="AZ80" s="47"/>
      <c r="BA80" s="47"/>
      <c r="BB80" s="47"/>
      <c r="BC80" s="115"/>
      <c r="BD80" s="115"/>
      <c r="BE80" s="115"/>
      <c r="BF80" s="115"/>
      <c r="BG80" s="115"/>
      <c r="BH80" s="115"/>
      <c r="BI80" s="115"/>
    </row>
    <row r="81" spans="40:61" ht="18.75" customHeight="1">
      <c r="AN81" s="2"/>
      <c r="AO81" s="115"/>
      <c r="AP81" s="115"/>
      <c r="AQ81" s="115"/>
      <c r="AR81" s="47"/>
      <c r="AS81" s="47"/>
      <c r="AT81" s="47"/>
      <c r="AU81" s="47"/>
      <c r="AV81" s="47"/>
      <c r="AW81" s="47"/>
      <c r="AX81" s="47"/>
      <c r="AY81" s="47"/>
      <c r="AZ81" s="47"/>
      <c r="BA81" s="47"/>
      <c r="BB81" s="47"/>
      <c r="BC81" s="115"/>
      <c r="BD81" s="115"/>
      <c r="BE81" s="115"/>
      <c r="BF81" s="115"/>
      <c r="BG81" s="115"/>
      <c r="BH81" s="115"/>
      <c r="BI81" s="115"/>
    </row>
    <row r="82" spans="40:61" ht="18.75" customHeight="1">
      <c r="AN82" s="2"/>
      <c r="AO82" s="115"/>
      <c r="AP82" s="115"/>
      <c r="AQ82" s="115"/>
      <c r="AR82" s="47"/>
      <c r="AS82" s="47"/>
      <c r="AT82" s="47"/>
      <c r="AU82" s="47"/>
      <c r="AV82" s="47"/>
      <c r="AW82" s="47"/>
      <c r="AX82" s="47"/>
      <c r="AY82" s="47"/>
      <c r="AZ82" s="47"/>
      <c r="BA82" s="47"/>
      <c r="BB82" s="47"/>
      <c r="BC82" s="115"/>
      <c r="BD82" s="115"/>
      <c r="BE82" s="115"/>
      <c r="BF82" s="115"/>
      <c r="BG82" s="115"/>
      <c r="BH82" s="115"/>
      <c r="BI82" s="115"/>
    </row>
    <row r="83" spans="40:61" ht="18.75" customHeight="1">
      <c r="AN83" s="2"/>
      <c r="AO83" s="115"/>
      <c r="AP83" s="115"/>
      <c r="AQ83" s="115"/>
      <c r="AR83" s="47"/>
      <c r="AS83" s="47"/>
      <c r="AT83" s="47"/>
      <c r="AU83" s="47"/>
      <c r="AV83" s="47"/>
      <c r="AW83" s="47"/>
      <c r="AX83" s="47"/>
      <c r="AY83" s="47"/>
      <c r="AZ83" s="47"/>
      <c r="BA83" s="47"/>
      <c r="BB83" s="47"/>
      <c r="BC83" s="115"/>
      <c r="BD83" s="115"/>
      <c r="BE83" s="115"/>
      <c r="BF83" s="115"/>
      <c r="BG83" s="115"/>
      <c r="BH83" s="115"/>
      <c r="BI83" s="115"/>
    </row>
    <row r="84" spans="40:61" ht="18.75" customHeight="1">
      <c r="AN84" s="2"/>
      <c r="AO84" s="115"/>
      <c r="AP84" s="115"/>
      <c r="AQ84" s="115"/>
      <c r="AR84" s="47"/>
      <c r="AS84" s="47"/>
      <c r="AT84" s="47"/>
      <c r="AU84" s="47"/>
      <c r="AV84" s="47"/>
      <c r="AW84" s="47"/>
      <c r="AX84" s="47"/>
      <c r="AY84" s="47"/>
      <c r="AZ84" s="47"/>
      <c r="BA84" s="47"/>
      <c r="BB84" s="47"/>
      <c r="BC84" s="115"/>
      <c r="BD84" s="115"/>
      <c r="BE84" s="115"/>
      <c r="BF84" s="115"/>
      <c r="BG84" s="115"/>
      <c r="BH84" s="115"/>
      <c r="BI84" s="115"/>
    </row>
    <row r="85" spans="40:61" ht="18.75" customHeight="1">
      <c r="AN85" s="2"/>
      <c r="AO85" s="115"/>
      <c r="AP85" s="115"/>
      <c r="AQ85" s="115"/>
      <c r="AR85" s="47"/>
      <c r="AS85" s="47"/>
      <c r="AT85" s="47"/>
      <c r="AU85" s="47"/>
      <c r="AV85" s="47"/>
      <c r="AW85" s="47"/>
      <c r="AX85" s="47"/>
      <c r="AY85" s="47"/>
      <c r="AZ85" s="47"/>
      <c r="BA85" s="47"/>
      <c r="BB85" s="47"/>
      <c r="BC85" s="115"/>
      <c r="BD85" s="115"/>
      <c r="BE85" s="115"/>
      <c r="BF85" s="115"/>
      <c r="BG85" s="115"/>
      <c r="BH85" s="115"/>
      <c r="BI85" s="115"/>
    </row>
    <row r="86" spans="40:61" ht="18.75" customHeight="1">
      <c r="AN86" s="2"/>
      <c r="AO86" s="115"/>
      <c r="AP86" s="115"/>
      <c r="AQ86" s="115"/>
      <c r="AR86" s="47"/>
      <c r="AS86" s="47"/>
      <c r="AT86" s="47"/>
      <c r="AU86" s="47"/>
      <c r="AV86" s="47"/>
      <c r="AW86" s="47"/>
      <c r="AX86" s="47"/>
      <c r="AY86" s="47"/>
      <c r="AZ86" s="47"/>
      <c r="BA86" s="47"/>
      <c r="BB86" s="47"/>
      <c r="BC86" s="115"/>
      <c r="BD86" s="115"/>
      <c r="BE86" s="115"/>
      <c r="BF86" s="115"/>
      <c r="BG86" s="115"/>
      <c r="BH86" s="115"/>
      <c r="BI86" s="115"/>
    </row>
    <row r="87" spans="40:61" ht="18.75" customHeight="1">
      <c r="AN87" s="2"/>
      <c r="AO87" s="115"/>
      <c r="AP87" s="115"/>
      <c r="AQ87" s="115"/>
      <c r="AR87" s="47"/>
      <c r="AS87" s="47"/>
      <c r="AT87" s="47"/>
      <c r="AU87" s="47"/>
      <c r="AV87" s="47"/>
      <c r="AW87" s="47"/>
      <c r="AX87" s="47"/>
      <c r="AY87" s="47"/>
      <c r="AZ87" s="47"/>
      <c r="BA87" s="47"/>
      <c r="BB87" s="47"/>
      <c r="BC87" s="115"/>
      <c r="BD87" s="115"/>
      <c r="BE87" s="115"/>
      <c r="BF87" s="115"/>
      <c r="BG87" s="115"/>
      <c r="BH87" s="115"/>
      <c r="BI87" s="115"/>
    </row>
    <row r="88" spans="40:61" ht="18.75" customHeight="1">
      <c r="AN88" s="2"/>
      <c r="AO88" s="115"/>
      <c r="AP88" s="115"/>
      <c r="AQ88" s="115"/>
      <c r="AR88" s="115"/>
      <c r="AS88" s="115"/>
      <c r="AT88" s="115"/>
      <c r="AU88" s="115"/>
      <c r="AV88" s="115"/>
      <c r="AW88" s="115"/>
      <c r="AX88" s="115"/>
      <c r="AY88" s="115"/>
      <c r="AZ88" s="115"/>
      <c r="BA88" s="115"/>
      <c r="BB88" s="115"/>
      <c r="BC88" s="115"/>
      <c r="BD88" s="115"/>
      <c r="BE88" s="115"/>
      <c r="BF88" s="115"/>
      <c r="BG88" s="115"/>
      <c r="BH88" s="115"/>
      <c r="BI88" s="115"/>
    </row>
    <row r="89" spans="40:61" ht="18.75" customHeight="1">
      <c r="AN89" s="2"/>
      <c r="AO89" s="115"/>
      <c r="AP89" s="115"/>
      <c r="AQ89" s="115"/>
      <c r="AR89" s="115"/>
      <c r="AS89" s="115"/>
      <c r="AT89" s="115"/>
      <c r="AU89" s="115"/>
      <c r="AV89" s="115"/>
      <c r="AW89" s="115"/>
      <c r="AX89" s="115"/>
      <c r="AY89" s="115"/>
      <c r="AZ89" s="115"/>
      <c r="BA89" s="115"/>
      <c r="BB89" s="115"/>
      <c r="BC89" s="115"/>
      <c r="BD89" s="115"/>
      <c r="BE89" s="115"/>
      <c r="BF89" s="115"/>
      <c r="BG89" s="115"/>
      <c r="BH89" s="115"/>
      <c r="BI89" s="115"/>
    </row>
    <row r="90" spans="40:61" ht="18.75" customHeight="1">
      <c r="AN90" s="2"/>
      <c r="AO90" s="115"/>
      <c r="AP90" s="115"/>
      <c r="AQ90" s="115"/>
      <c r="AR90" s="115"/>
      <c r="AS90" s="115"/>
      <c r="AT90" s="115"/>
      <c r="AU90" s="115"/>
      <c r="AV90" s="115"/>
      <c r="AW90" s="115"/>
      <c r="AX90" s="115"/>
      <c r="AY90" s="115"/>
      <c r="AZ90" s="115"/>
      <c r="BA90" s="115"/>
      <c r="BB90" s="115"/>
      <c r="BC90" s="115"/>
      <c r="BD90" s="115"/>
      <c r="BE90" s="115"/>
      <c r="BF90" s="115"/>
      <c r="BG90" s="115"/>
      <c r="BH90" s="115"/>
      <c r="BI90" s="115"/>
    </row>
    <row r="91" spans="40:61" ht="18.75" customHeight="1">
      <c r="AN91" s="2"/>
      <c r="AO91" s="115"/>
      <c r="AP91" s="115"/>
      <c r="AQ91" s="115"/>
      <c r="AR91" s="115"/>
      <c r="AS91" s="115"/>
      <c r="AT91" s="115"/>
      <c r="AU91" s="115"/>
      <c r="AV91" s="115"/>
      <c r="AW91" s="115"/>
      <c r="AX91" s="115"/>
      <c r="AY91" s="115"/>
      <c r="AZ91" s="115"/>
      <c r="BA91" s="115"/>
      <c r="BB91" s="115"/>
      <c r="BC91" s="115"/>
      <c r="BD91" s="115"/>
      <c r="BE91" s="115"/>
      <c r="BF91" s="115"/>
      <c r="BG91" s="115"/>
      <c r="BH91" s="115"/>
      <c r="BI91" s="115"/>
    </row>
    <row r="92" spans="40:61" ht="18.75" customHeight="1">
      <c r="AN92" s="2"/>
      <c r="AO92" s="115"/>
      <c r="AP92" s="115"/>
      <c r="AQ92" s="115"/>
      <c r="AR92" s="115"/>
      <c r="AS92" s="115"/>
      <c r="AT92" s="115"/>
      <c r="AU92" s="115"/>
      <c r="AV92" s="115"/>
      <c r="AW92" s="115"/>
      <c r="AX92" s="115"/>
      <c r="AY92" s="115"/>
      <c r="AZ92" s="115"/>
      <c r="BA92" s="115"/>
      <c r="BB92" s="115"/>
      <c r="BC92" s="115"/>
      <c r="BD92" s="115"/>
      <c r="BE92" s="115"/>
      <c r="BF92" s="115"/>
      <c r="BG92" s="115"/>
      <c r="BH92" s="115"/>
      <c r="BI92" s="115"/>
    </row>
    <row r="93" spans="40:61" ht="18.75" customHeight="1">
      <c r="AN93" s="2"/>
      <c r="AO93" s="115"/>
      <c r="AP93" s="115"/>
      <c r="AQ93" s="115"/>
      <c r="AR93" s="115"/>
      <c r="AS93" s="115"/>
      <c r="AT93" s="115"/>
      <c r="AU93" s="115"/>
      <c r="AV93" s="115"/>
      <c r="AW93" s="115"/>
      <c r="AX93" s="115"/>
      <c r="AY93" s="115"/>
      <c r="AZ93" s="115"/>
      <c r="BA93" s="115"/>
      <c r="BB93" s="115"/>
      <c r="BC93" s="115"/>
      <c r="BD93" s="115"/>
      <c r="BE93" s="115"/>
      <c r="BF93" s="115"/>
      <c r="BG93" s="115"/>
      <c r="BH93" s="115"/>
      <c r="BI93" s="115"/>
    </row>
    <row r="94" spans="40:61" ht="18.75" customHeight="1">
      <c r="AN94" s="2"/>
      <c r="AO94" s="2"/>
    </row>
    <row r="95" spans="40:61" ht="18.75" customHeight="1">
      <c r="AN95" s="2"/>
      <c r="AO95" s="2"/>
    </row>
    <row r="96" spans="40:61" ht="18.75" customHeight="1">
      <c r="AN96" s="2"/>
      <c r="AO96" s="2"/>
    </row>
    <row r="97" spans="40:41" ht="18.75" customHeight="1">
      <c r="AN97" s="2"/>
      <c r="AO97" s="2"/>
    </row>
    <row r="98" spans="40:41" ht="18.75" customHeight="1">
      <c r="AN98" s="2"/>
      <c r="AO98" s="2"/>
    </row>
    <row r="99" spans="40:41" ht="18.75" customHeight="1">
      <c r="AN99" s="2"/>
      <c r="AO99" s="2"/>
    </row>
    <row r="100" spans="40:41" ht="18.75" customHeight="1">
      <c r="AN100" s="2"/>
      <c r="AO100" s="2"/>
    </row>
    <row r="101" spans="40:41" ht="18.75" customHeight="1">
      <c r="AN101" s="2"/>
      <c r="AO101" s="2"/>
    </row>
    <row r="102" spans="40:41" ht="18.75" customHeight="1">
      <c r="AN102" s="2"/>
      <c r="AO102" s="2"/>
    </row>
    <row r="103" spans="40:41" ht="18.75" customHeight="1">
      <c r="AN103" s="2"/>
      <c r="AO103" s="2"/>
    </row>
    <row r="104" spans="40:41" ht="18.75" customHeight="1">
      <c r="AN104" s="2"/>
      <c r="AO104" s="2"/>
    </row>
    <row r="105" spans="40:41" ht="18.75" customHeight="1">
      <c r="AN105" s="2"/>
      <c r="AO105" s="2"/>
    </row>
    <row r="106" spans="40:41" ht="18.75" customHeight="1">
      <c r="AN106" s="2"/>
      <c r="AO106" s="2"/>
    </row>
    <row r="107" spans="40:41" ht="18.75" customHeight="1">
      <c r="AN107" s="2"/>
      <c r="AO107" s="2"/>
    </row>
    <row r="108" spans="40:41" ht="18.75" customHeight="1">
      <c r="AN108" s="2"/>
      <c r="AO108" s="2"/>
    </row>
    <row r="109" spans="40:41" ht="18.75" customHeight="1">
      <c r="AN109" s="2"/>
      <c r="AO109" s="2"/>
    </row>
    <row r="110" spans="40:41" ht="18.75" customHeight="1">
      <c r="AN110" s="2"/>
      <c r="AO110" s="2"/>
    </row>
    <row r="111" spans="40:41" ht="18.75" customHeight="1">
      <c r="AN111" s="2"/>
      <c r="AO111" s="2"/>
    </row>
    <row r="112" spans="40:41" ht="18.75" customHeight="1">
      <c r="AN112" s="2"/>
      <c r="AO112" s="2"/>
    </row>
    <row r="113" spans="40:41" ht="18.75" customHeight="1">
      <c r="AN113" s="2"/>
      <c r="AO113" s="2"/>
    </row>
    <row r="114" spans="40:41" ht="18.75" customHeight="1">
      <c r="AN114" s="2"/>
      <c r="AO114" s="2"/>
    </row>
    <row r="115" spans="40:41" ht="18.75" customHeight="1">
      <c r="AN115" s="2"/>
      <c r="AO115" s="2"/>
    </row>
    <row r="116" spans="40:41" ht="18.75" customHeight="1">
      <c r="AN116" s="2"/>
      <c r="AO116" s="2"/>
    </row>
    <row r="117" spans="40:41" ht="18.75" customHeight="1">
      <c r="AN117" s="2"/>
      <c r="AO117" s="2"/>
    </row>
    <row r="118" spans="40:41" ht="18.75" customHeight="1">
      <c r="AN118" s="2"/>
      <c r="AO118" s="2"/>
    </row>
    <row r="119" spans="40:41" ht="18.75" customHeight="1">
      <c r="AN119" s="2"/>
      <c r="AO119" s="2"/>
    </row>
    <row r="120" spans="40:41" ht="18.75" customHeight="1">
      <c r="AN120" s="2"/>
      <c r="AO120" s="2"/>
    </row>
    <row r="121" spans="40:41" ht="18.75" customHeight="1">
      <c r="AN121" s="2"/>
      <c r="AO121" s="2"/>
    </row>
    <row r="122" spans="40:41" ht="18.75" customHeight="1">
      <c r="AN122" s="2"/>
      <c r="AO122" s="2"/>
    </row>
    <row r="123" spans="40:41" ht="18.75" customHeight="1">
      <c r="AN123" s="2"/>
      <c r="AO123" s="2"/>
    </row>
    <row r="124" spans="40:41" ht="18.75" customHeight="1">
      <c r="AN124" s="2"/>
      <c r="AO124" s="2"/>
    </row>
    <row r="125" spans="40:41" ht="18.75" customHeight="1">
      <c r="AN125" s="2"/>
      <c r="AO125" s="2"/>
    </row>
    <row r="126" spans="40:41" ht="18.75" customHeight="1">
      <c r="AN126" s="2"/>
      <c r="AO126" s="2"/>
    </row>
    <row r="127" spans="40:41" ht="18.75" customHeight="1">
      <c r="AN127" s="2"/>
      <c r="AO127" s="2"/>
    </row>
    <row r="128" spans="40:41" ht="18.75" customHeight="1">
      <c r="AN128" s="2"/>
      <c r="AO128" s="2"/>
    </row>
    <row r="129" spans="40:41" ht="18.75" customHeight="1">
      <c r="AN129" s="2"/>
      <c r="AO129" s="2"/>
    </row>
    <row r="130" spans="40:41" ht="18.75" customHeight="1">
      <c r="AN130" s="2"/>
      <c r="AO130" s="2"/>
    </row>
    <row r="131" spans="40:41" ht="18.75" customHeight="1">
      <c r="AN131" s="2"/>
      <c r="AO131" s="2"/>
    </row>
    <row r="132" spans="40:41" ht="18.75" customHeight="1">
      <c r="AN132" s="2"/>
      <c r="AO132" s="2"/>
    </row>
    <row r="133" spans="40:41" ht="18.75" customHeight="1">
      <c r="AN133" s="2"/>
      <c r="AO133" s="2"/>
    </row>
    <row r="134" spans="40:41" ht="18.75" customHeight="1">
      <c r="AN134" s="2"/>
      <c r="AO134" s="2"/>
    </row>
    <row r="135" spans="40:41" ht="18.75" customHeight="1">
      <c r="AN135" s="2"/>
      <c r="AO135" s="2"/>
    </row>
  </sheetData>
  <sheetProtection selectLockedCells="1"/>
  <mergeCells count="61">
    <mergeCell ref="D28:N28"/>
    <mergeCell ref="O38:AC38"/>
    <mergeCell ref="P19:U19"/>
    <mergeCell ref="F20:W20"/>
    <mergeCell ref="F21:W21"/>
    <mergeCell ref="B23:N23"/>
    <mergeCell ref="P23:AC23"/>
    <mergeCell ref="R14:U14"/>
    <mergeCell ref="R11:U11"/>
    <mergeCell ref="V14:AD14"/>
    <mergeCell ref="V13:AD13"/>
    <mergeCell ref="V12:AD12"/>
    <mergeCell ref="V11:AD11"/>
    <mergeCell ref="A2:AD3"/>
    <mergeCell ref="A4:AD5"/>
    <mergeCell ref="M6:U6"/>
    <mergeCell ref="V6:AD6"/>
    <mergeCell ref="A6:L6"/>
    <mergeCell ref="R7:U7"/>
    <mergeCell ref="V7:AD7"/>
    <mergeCell ref="V8:AD8"/>
    <mergeCell ref="V9:AD9"/>
    <mergeCell ref="M12:Q12"/>
    <mergeCell ref="M10:Q10"/>
    <mergeCell ref="R10:U10"/>
    <mergeCell ref="M11:Q11"/>
    <mergeCell ref="R12:U12"/>
    <mergeCell ref="R8:U8"/>
    <mergeCell ref="V10:AD10"/>
    <mergeCell ref="Q41:AD41"/>
    <mergeCell ref="M8:Q8"/>
    <mergeCell ref="B8:L8"/>
    <mergeCell ref="M9:Q9"/>
    <mergeCell ref="R9:U9"/>
    <mergeCell ref="B12:L12"/>
    <mergeCell ref="M15:Q15"/>
    <mergeCell ref="A41:P41"/>
    <mergeCell ref="A39:AD40"/>
    <mergeCell ref="B10:L10"/>
    <mergeCell ref="A17:AD18"/>
    <mergeCell ref="B16:L16"/>
    <mergeCell ref="B15:L15"/>
    <mergeCell ref="C19:O19"/>
    <mergeCell ref="B11:L11"/>
    <mergeCell ref="R15:U15"/>
    <mergeCell ref="A42:P42"/>
    <mergeCell ref="A43:P43"/>
    <mergeCell ref="M7:Q7"/>
    <mergeCell ref="B7:L7"/>
    <mergeCell ref="B9:L9"/>
    <mergeCell ref="Q43:AA43"/>
    <mergeCell ref="Q42:AA42"/>
    <mergeCell ref="M13:Q13"/>
    <mergeCell ref="B13:L13"/>
    <mergeCell ref="V16:AD16"/>
    <mergeCell ref="B14:L14"/>
    <mergeCell ref="R13:U13"/>
    <mergeCell ref="M14:Q14"/>
    <mergeCell ref="V15:AD15"/>
    <mergeCell ref="R16:U16"/>
    <mergeCell ref="M16:Q16"/>
  </mergeCells>
  <phoneticPr fontId="2"/>
  <conditionalFormatting sqref="B7:L16 M7:Q16 V7:AD16">
    <cfRule type="cellIs" dxfId="302" priority="67" stopIfTrue="1" operator="notEqual">
      <formula>""</formula>
    </cfRule>
  </conditionalFormatting>
  <conditionalFormatting sqref="M7:Q16">
    <cfRule type="expression" dxfId="301" priority="21">
      <formula>M7&lt;&gt;""</formula>
    </cfRule>
  </conditionalFormatting>
  <conditionalFormatting sqref="S37:T37 P25:P35 P37 S25:T35">
    <cfRule type="expression" dxfId="300" priority="3" stopIfTrue="1">
      <formula>$AA$20=1</formula>
    </cfRule>
    <cfRule type="expression" dxfId="299" priority="4" stopIfTrue="1">
      <formula>O25=1</formula>
    </cfRule>
    <cfRule type="expression" dxfId="298" priority="5" stopIfTrue="1">
      <formula>O25=2</formula>
    </cfRule>
  </conditionalFormatting>
  <conditionalFormatting sqref="Z37:AA37 Z28:AA35 W28:W35 W37 W25:W26 Z25:AA26">
    <cfRule type="expression" dxfId="297" priority="6" stopIfTrue="1">
      <formula>$AA$20=1</formula>
    </cfRule>
    <cfRule type="expression" dxfId="296" priority="7" stopIfTrue="1">
      <formula>O25=2</formula>
    </cfRule>
    <cfRule type="expression" dxfId="295" priority="8" stopIfTrue="1">
      <formula>O25=1</formula>
    </cfRule>
  </conditionalFormatting>
  <conditionalFormatting sqref="B21">
    <cfRule type="expression" dxfId="294" priority="9" stopIfTrue="1">
      <formula>AA20&gt;0</formula>
    </cfRule>
  </conditionalFormatting>
  <conditionalFormatting sqref="V25:V35 V37">
    <cfRule type="expression" dxfId="293" priority="10" stopIfTrue="1">
      <formula>$AA$20=1</formula>
    </cfRule>
    <cfRule type="expression" dxfId="292" priority="11" stopIfTrue="1">
      <formula>O25&gt;0</formula>
    </cfRule>
  </conditionalFormatting>
  <conditionalFormatting sqref="B20">
    <cfRule type="expression" dxfId="291" priority="12" stopIfTrue="1">
      <formula>AA20&gt;0</formula>
    </cfRule>
  </conditionalFormatting>
  <conditionalFormatting sqref="D20">
    <cfRule type="expression" dxfId="290" priority="13" stopIfTrue="1">
      <formula>$P$19="（１）県内全域を希望"</formula>
    </cfRule>
    <cfRule type="expression" dxfId="289" priority="14" stopIfTrue="1">
      <formula>$P$19="（２）特定の区域を希望"</formula>
    </cfRule>
  </conditionalFormatting>
  <conditionalFormatting sqref="D21">
    <cfRule type="expression" dxfId="288" priority="15" stopIfTrue="1">
      <formula>$P$19="（１）県内全域を希望"</formula>
    </cfRule>
    <cfRule type="expression" dxfId="287" priority="16" stopIfTrue="1">
      <formula>$P$19="（２）特定の区域を希望"</formula>
    </cfRule>
  </conditionalFormatting>
  <conditionalFormatting sqref="F20:W20">
    <cfRule type="expression" dxfId="286" priority="17" stopIfTrue="1">
      <formula>$P$19="（２）特定の区域を希望"</formula>
    </cfRule>
  </conditionalFormatting>
  <conditionalFormatting sqref="F21:W21">
    <cfRule type="expression" dxfId="285" priority="18" stopIfTrue="1">
      <formula>$P$19="（１）県内全域を希望"</formula>
    </cfRule>
  </conditionalFormatting>
  <conditionalFormatting sqref="R24:R37">
    <cfRule type="expression" dxfId="284" priority="19" stopIfTrue="1">
      <formula>O24="×"</formula>
    </cfRule>
  </conditionalFormatting>
  <conditionalFormatting sqref="Y24:Y37">
    <cfRule type="expression" dxfId="283" priority="20" stopIfTrue="1">
      <formula>O24="○"</formula>
    </cfRule>
  </conditionalFormatting>
  <conditionalFormatting sqref="Q41:AD41 Q42:AA43">
    <cfRule type="cellIs" dxfId="282" priority="2" operator="notEqual">
      <formula>""</formula>
    </cfRule>
  </conditionalFormatting>
  <conditionalFormatting sqref="A42">
    <cfRule type="cellIs" dxfId="281" priority="1" stopIfTrue="1" operator="notEqual">
      <formula>""</formula>
    </cfRule>
  </conditionalFormatting>
  <dataValidations xWindow="376" yWindow="564" count="8">
    <dataValidation imeMode="disabled" allowBlank="1" showInputMessage="1" showErrorMessage="1" sqref="Q42:AA43" xr:uid="{00000000-0002-0000-0100-000000000000}"/>
    <dataValidation type="list" allowBlank="1" showInputMessage="1" showErrorMessage="1" sqref="Q41:AD41" xr:uid="{00000000-0002-0000-0100-000001000000}">
      <formula1>$AN$37:$AN$43</formula1>
    </dataValidation>
    <dataValidation type="list" allowBlank="1" showErrorMessage="1" prompt="右のボタンから該当するものを選択してください。" sqref="P19:U19" xr:uid="{00000000-0002-0000-0100-000002000000}">
      <formula1>$AL$20:$AL$21</formula1>
    </dataValidation>
    <dataValidation type="list" allowBlank="1" showErrorMessage="1" prompt="右のボタンから、この圏域を希望する場合は「○」を、希望しない場合は「×」を選択してください。_x000a_希望の有無の記載欄に自動的に○×が表示されます。" sqref="O24:O37" xr:uid="{00000000-0002-0000-0100-000003000000}">
      <formula1>$AJ$24:$AJ$25</formula1>
    </dataValidation>
    <dataValidation allowBlank="1" showInputMessage="1" showErrorMessage="1" prompt="希望しない場合に選択してください。_x000a_ただし、上で（１）県内全域を対象とするが選択されている場合は、このボタンの選択は無視されます。" sqref="V24:V35 V37" xr:uid="{00000000-0002-0000-0100-000004000000}"/>
    <dataValidation type="list" allowBlank="1" showErrorMessage="1" prompt="右のボタンから市町村名を選択してください。" sqref="M7:Q16" xr:uid="{00000000-0002-0000-0100-000005000000}">
      <formula1>$AN$6:$AN$35</formula1>
    </dataValidation>
    <dataValidation imeMode="disabled" operator="lessThanOrEqual" allowBlank="1" showInputMessage="1" showErrorMessage="1" error="・ハイフンで区切ってください。" sqref="V7:AD16" xr:uid="{00000000-0002-0000-0100-000006000000}"/>
    <dataValidation imeMode="on" allowBlank="1" showInputMessage="1" showErrorMessage="1" sqref="B7:L16" xr:uid="{00000000-0002-0000-0100-000007000000}"/>
  </dataValidations>
  <pageMargins left="0.78740157480314965" right="0.59055118110236227" top="0.70866141732283472" bottom="0.59055118110236227" header="0.51181102362204722" footer="0.51181102362204722"/>
  <pageSetup paperSize="9" fitToWidth="0"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O49"/>
  <sheetViews>
    <sheetView showGridLines="0" showZeros="0" view="pageBreakPreview" topLeftCell="A16" zoomScaleNormal="100" zoomScaleSheetLayoutView="100" workbookViewId="0">
      <selection activeCell="A10" sqref="A10:AC13"/>
    </sheetView>
  </sheetViews>
  <sheetFormatPr defaultColWidth="3" defaultRowHeight="13.5"/>
  <cols>
    <col min="1" max="1" width="3.375" style="2" customWidth="1"/>
    <col min="2" max="2" width="5.125" style="2" customWidth="1"/>
    <col min="3" max="3" width="2.875" style="2" customWidth="1"/>
    <col min="4" max="4" width="5.125" style="2" customWidth="1"/>
    <col min="5" max="5" width="2.875" style="2" customWidth="1"/>
    <col min="6" max="6" width="5.125" style="2" customWidth="1"/>
    <col min="7" max="7" width="2.875" style="2" customWidth="1"/>
    <col min="8" max="8" width="5.125" style="2" customWidth="1"/>
    <col min="9" max="9" width="3" style="2" customWidth="1"/>
    <col min="10" max="10" width="5.125" style="2" customWidth="1"/>
    <col min="11" max="19" width="3" style="2" customWidth="1"/>
    <col min="20" max="20" width="2.5" style="2" customWidth="1"/>
    <col min="21" max="23" width="3" style="2" customWidth="1"/>
    <col min="24" max="24" width="2.625" style="2" customWidth="1"/>
    <col min="25" max="25" width="2.875" style="2" customWidth="1"/>
    <col min="26" max="26" width="3.5" style="2" customWidth="1"/>
    <col min="27" max="27" width="3" style="2" customWidth="1"/>
    <col min="28" max="28" width="9.5" style="295" customWidth="1"/>
    <col min="29" max="29" width="3" style="2" customWidth="1"/>
    <col min="30" max="30" width="3.875" style="2" hidden="1" customWidth="1"/>
    <col min="31" max="32" width="3" style="2" hidden="1" customWidth="1"/>
    <col min="33" max="33" width="5.375" style="2" customWidth="1"/>
    <col min="34" max="36" width="3" style="2" customWidth="1"/>
    <col min="37" max="37" width="4.5" style="25" customWidth="1"/>
    <col min="38" max="40" width="3" style="25" customWidth="1"/>
    <col min="41" max="41" width="6.375" style="25" customWidth="1"/>
    <col min="42" max="16384" width="3" style="2"/>
  </cols>
  <sheetData>
    <row r="1" spans="1:41" ht="18" customHeight="1" thickBot="1">
      <c r="A1" s="1" t="s">
        <v>91</v>
      </c>
      <c r="L1" s="71" t="str">
        <f>IF(第１号様式!$H$21="","",第１号様式!$H$21)</f>
        <v/>
      </c>
    </row>
    <row r="2" spans="1:41">
      <c r="A2" s="676" t="s">
        <v>120</v>
      </c>
      <c r="B2" s="699"/>
      <c r="C2" s="699"/>
      <c r="D2" s="699"/>
      <c r="E2" s="699"/>
      <c r="F2" s="699"/>
      <c r="G2" s="699"/>
      <c r="H2" s="699"/>
      <c r="I2" s="699"/>
      <c r="J2" s="699"/>
      <c r="K2" s="699"/>
      <c r="L2" s="699"/>
      <c r="M2" s="699"/>
      <c r="N2" s="699"/>
      <c r="O2" s="699"/>
      <c r="P2" s="699"/>
      <c r="Q2" s="699"/>
      <c r="R2" s="699"/>
      <c r="S2" s="699"/>
      <c r="T2" s="699"/>
      <c r="U2" s="699"/>
      <c r="V2" s="699"/>
      <c r="W2" s="699"/>
      <c r="X2" s="699"/>
      <c r="Y2" s="699"/>
      <c r="Z2" s="700"/>
      <c r="AA2" s="135"/>
    </row>
    <row r="3" spans="1:41">
      <c r="A3" s="709"/>
      <c r="B3" s="710"/>
      <c r="C3" s="710"/>
      <c r="D3" s="710"/>
      <c r="E3" s="710"/>
      <c r="F3" s="710"/>
      <c r="G3" s="710"/>
      <c r="H3" s="710"/>
      <c r="I3" s="710"/>
      <c r="J3" s="710"/>
      <c r="K3" s="710"/>
      <c r="L3" s="710"/>
      <c r="M3" s="710"/>
      <c r="N3" s="710"/>
      <c r="O3" s="710"/>
      <c r="P3" s="710"/>
      <c r="Q3" s="710"/>
      <c r="R3" s="710"/>
      <c r="S3" s="710"/>
      <c r="T3" s="710"/>
      <c r="U3" s="710"/>
      <c r="V3" s="710"/>
      <c r="W3" s="710"/>
      <c r="X3" s="710"/>
      <c r="Y3" s="710"/>
      <c r="Z3" s="711"/>
      <c r="AA3" s="135"/>
      <c r="AB3" s="294" t="s">
        <v>737</v>
      </c>
    </row>
    <row r="4" spans="1:41" ht="4.5" customHeight="1">
      <c r="A4" s="136"/>
      <c r="B4" s="137"/>
      <c r="C4" s="137"/>
      <c r="D4" s="137"/>
      <c r="E4" s="137"/>
      <c r="F4" s="137"/>
      <c r="G4" s="137"/>
      <c r="H4" s="137"/>
      <c r="I4" s="137"/>
      <c r="J4" s="138"/>
      <c r="K4" s="138"/>
      <c r="L4" s="138"/>
      <c r="M4" s="138"/>
      <c r="N4" s="138"/>
      <c r="O4" s="138"/>
      <c r="P4" s="138"/>
      <c r="Q4" s="138"/>
      <c r="R4" s="138"/>
      <c r="S4" s="138"/>
      <c r="T4" s="138"/>
      <c r="U4" s="138"/>
      <c r="V4" s="138"/>
      <c r="W4" s="138"/>
      <c r="X4" s="138"/>
      <c r="Y4" s="138"/>
      <c r="Z4" s="139"/>
    </row>
    <row r="5" spans="1:41">
      <c r="A5" s="74"/>
      <c r="B5" s="708"/>
      <c r="C5" s="708"/>
      <c r="D5" s="708"/>
      <c r="E5" s="140"/>
      <c r="F5" s="724"/>
      <c r="G5" s="724"/>
      <c r="H5" s="725" t="s">
        <v>241</v>
      </c>
      <c r="I5" s="724"/>
      <c r="J5" s="724"/>
      <c r="K5" s="560" t="s">
        <v>220</v>
      </c>
      <c r="L5" s="724"/>
      <c r="M5" s="724"/>
      <c r="N5" s="560" t="s">
        <v>221</v>
      </c>
      <c r="O5" s="17"/>
      <c r="P5" s="6"/>
      <c r="Q5" s="6"/>
      <c r="R5" s="6"/>
      <c r="S5" s="6"/>
      <c r="T5" s="6"/>
      <c r="U5" s="141"/>
      <c r="V5" s="141"/>
      <c r="W5" s="141"/>
      <c r="X5" s="141"/>
      <c r="Y5" s="141"/>
      <c r="Z5" s="75"/>
      <c r="AB5" s="294" t="str">
        <f>IF(F5="","",AD5&amp;TEXT((DATE(F5,I5,L5)),"yymmdd"))</f>
        <v/>
      </c>
      <c r="AD5" s="142" t="str">
        <f>IF(B5="","",VLOOKUP(B5,$AE$5:$AF$9,2,FALSE))</f>
        <v/>
      </c>
      <c r="AE5" s="62" t="s">
        <v>691</v>
      </c>
      <c r="AF5" s="62" t="s">
        <v>692</v>
      </c>
      <c r="AI5" s="143"/>
      <c r="AJ5" s="143"/>
      <c r="AK5" s="143"/>
      <c r="AL5" s="143"/>
    </row>
    <row r="6" spans="1:41" ht="15.75" customHeight="1">
      <c r="A6" s="76"/>
      <c r="B6" s="708"/>
      <c r="C6" s="708"/>
      <c r="D6" s="708"/>
      <c r="E6" s="140"/>
      <c r="F6" s="724"/>
      <c r="G6" s="724"/>
      <c r="H6" s="725"/>
      <c r="I6" s="724"/>
      <c r="J6" s="724"/>
      <c r="K6" s="560"/>
      <c r="L6" s="724"/>
      <c r="M6" s="724"/>
      <c r="N6" s="560"/>
      <c r="O6" s="17"/>
      <c r="P6" s="6"/>
      <c r="Q6" s="6"/>
      <c r="R6" s="6"/>
      <c r="S6" s="6"/>
      <c r="T6" s="6"/>
      <c r="U6" s="141"/>
      <c r="V6" s="141"/>
      <c r="W6" s="141"/>
      <c r="X6" s="141"/>
      <c r="Y6" s="141"/>
      <c r="Z6" s="75"/>
      <c r="AE6" s="62" t="s">
        <v>693</v>
      </c>
      <c r="AF6" s="62" t="s">
        <v>694</v>
      </c>
    </row>
    <row r="7" spans="1:41" ht="4.5" customHeight="1" thickBot="1">
      <c r="A7" s="144"/>
      <c r="B7" s="145"/>
      <c r="C7" s="145"/>
      <c r="D7" s="145"/>
      <c r="E7" s="145"/>
      <c r="F7" s="145"/>
      <c r="G7" s="145"/>
      <c r="H7" s="145"/>
      <c r="I7" s="145"/>
      <c r="J7" s="146"/>
      <c r="K7" s="147"/>
      <c r="L7" s="147"/>
      <c r="M7" s="147"/>
      <c r="N7" s="147"/>
      <c r="O7" s="147"/>
      <c r="P7" s="147"/>
      <c r="Q7" s="147"/>
      <c r="R7" s="147"/>
      <c r="S7" s="147"/>
      <c r="T7" s="147"/>
      <c r="U7" s="147"/>
      <c r="V7" s="147"/>
      <c r="W7" s="147"/>
      <c r="X7" s="147"/>
      <c r="Y7" s="147"/>
      <c r="Z7" s="148"/>
      <c r="AE7" s="62" t="s">
        <v>695</v>
      </c>
      <c r="AF7" s="62" t="s">
        <v>696</v>
      </c>
    </row>
    <row r="8" spans="1:41">
      <c r="A8" s="676" t="s">
        <v>923</v>
      </c>
      <c r="B8" s="699"/>
      <c r="C8" s="699"/>
      <c r="D8" s="699"/>
      <c r="E8" s="699"/>
      <c r="F8" s="699"/>
      <c r="G8" s="699"/>
      <c r="H8" s="699"/>
      <c r="I8" s="699"/>
      <c r="J8" s="699"/>
      <c r="K8" s="699"/>
      <c r="L8" s="699"/>
      <c r="M8" s="699"/>
      <c r="N8" s="699"/>
      <c r="O8" s="699"/>
      <c r="P8" s="699"/>
      <c r="Q8" s="699"/>
      <c r="R8" s="699"/>
      <c r="S8" s="699"/>
      <c r="T8" s="699"/>
      <c r="U8" s="699"/>
      <c r="V8" s="699"/>
      <c r="W8" s="699"/>
      <c r="X8" s="699"/>
      <c r="Y8" s="699"/>
      <c r="Z8" s="700"/>
      <c r="AA8" s="135"/>
      <c r="AB8" s="298"/>
      <c r="AE8" s="62" t="s">
        <v>697</v>
      </c>
      <c r="AF8" s="62" t="s">
        <v>698</v>
      </c>
    </row>
    <row r="9" spans="1:41">
      <c r="A9" s="709"/>
      <c r="B9" s="710"/>
      <c r="C9" s="710"/>
      <c r="D9" s="710"/>
      <c r="E9" s="710"/>
      <c r="F9" s="710"/>
      <c r="G9" s="710"/>
      <c r="H9" s="710"/>
      <c r="I9" s="710"/>
      <c r="J9" s="710"/>
      <c r="K9" s="710"/>
      <c r="L9" s="710"/>
      <c r="M9" s="710"/>
      <c r="N9" s="710"/>
      <c r="O9" s="710"/>
      <c r="P9" s="710"/>
      <c r="Q9" s="710"/>
      <c r="R9" s="710"/>
      <c r="S9" s="710"/>
      <c r="T9" s="710"/>
      <c r="U9" s="710"/>
      <c r="V9" s="710"/>
      <c r="W9" s="710"/>
      <c r="X9" s="710"/>
      <c r="Y9" s="710"/>
      <c r="Z9" s="711"/>
      <c r="AA9" s="135"/>
      <c r="AB9" s="298"/>
      <c r="AE9" s="62" t="s">
        <v>699</v>
      </c>
      <c r="AF9" s="62" t="s">
        <v>700</v>
      </c>
    </row>
    <row r="10" spans="1:41" ht="20.100000000000001" customHeight="1">
      <c r="A10" s="712" t="s">
        <v>92</v>
      </c>
      <c r="B10" s="713"/>
      <c r="C10" s="713"/>
      <c r="D10" s="713"/>
      <c r="E10" s="713"/>
      <c r="F10" s="713"/>
      <c r="G10" s="713"/>
      <c r="H10" s="714"/>
      <c r="I10" s="715" t="s">
        <v>116</v>
      </c>
      <c r="J10" s="716"/>
      <c r="K10" s="716"/>
      <c r="L10" s="716"/>
      <c r="M10" s="716"/>
      <c r="N10" s="716"/>
      <c r="O10" s="716"/>
      <c r="P10" s="717"/>
      <c r="Q10" s="721" t="s">
        <v>117</v>
      </c>
      <c r="R10" s="713"/>
      <c r="S10" s="713"/>
      <c r="T10" s="713"/>
      <c r="U10" s="713"/>
      <c r="V10" s="713"/>
      <c r="W10" s="713"/>
      <c r="X10" s="713"/>
      <c r="Y10" s="713"/>
      <c r="Z10" s="722"/>
    </row>
    <row r="11" spans="1:41" ht="20.100000000000001" customHeight="1">
      <c r="A11" s="562"/>
      <c r="B11" s="563"/>
      <c r="C11" s="563"/>
      <c r="D11" s="563"/>
      <c r="E11" s="563"/>
      <c r="F11" s="563"/>
      <c r="G11" s="563"/>
      <c r="H11" s="564"/>
      <c r="I11" s="718" t="s">
        <v>115</v>
      </c>
      <c r="J11" s="719"/>
      <c r="K11" s="719"/>
      <c r="L11" s="719"/>
      <c r="M11" s="719"/>
      <c r="N11" s="719"/>
      <c r="O11" s="719"/>
      <c r="P11" s="720"/>
      <c r="Q11" s="584"/>
      <c r="R11" s="563"/>
      <c r="S11" s="563"/>
      <c r="T11" s="563"/>
      <c r="U11" s="563"/>
      <c r="V11" s="563"/>
      <c r="W11" s="563"/>
      <c r="X11" s="563"/>
      <c r="Y11" s="563"/>
      <c r="Z11" s="723"/>
      <c r="AB11" s="294" t="s">
        <v>737</v>
      </c>
      <c r="AN11" s="22"/>
    </row>
    <row r="12" spans="1:41" ht="20.100000000000001" customHeight="1">
      <c r="A12" s="690"/>
      <c r="B12" s="691"/>
      <c r="C12" s="691"/>
      <c r="D12" s="691"/>
      <c r="E12" s="691"/>
      <c r="F12" s="691"/>
      <c r="G12" s="691"/>
      <c r="H12" s="692"/>
      <c r="I12" s="660"/>
      <c r="J12" s="661"/>
      <c r="K12" s="56"/>
      <c r="L12" s="149" t="s">
        <v>241</v>
      </c>
      <c r="M12" s="56"/>
      <c r="N12" s="149" t="s">
        <v>707</v>
      </c>
      <c r="O12" s="56"/>
      <c r="P12" s="150" t="s">
        <v>221</v>
      </c>
      <c r="Q12" s="686"/>
      <c r="R12" s="687"/>
      <c r="S12" s="687"/>
      <c r="T12" s="687"/>
      <c r="U12" s="687"/>
      <c r="V12" s="687"/>
      <c r="W12" s="687"/>
      <c r="X12" s="687"/>
      <c r="Y12" s="687"/>
      <c r="Z12" s="688"/>
      <c r="AB12" s="294" t="str">
        <f>IF(K12="","",AD12&amp;TEXT((DATE(K12,M12,O12)),"yymmdd"))</f>
        <v/>
      </c>
      <c r="AC12" s="151"/>
      <c r="AD12" s="142" t="str">
        <f>IF(I12="","",VLOOKUP(I12,$AE$5:$AF$9,2,FALSE))</f>
        <v/>
      </c>
      <c r="AE12" s="151"/>
      <c r="AF12" s="151"/>
      <c r="AG12" s="151"/>
      <c r="AH12" s="151"/>
      <c r="AI12" s="151"/>
      <c r="AJ12" s="151"/>
      <c r="AK12" s="151"/>
      <c r="AL12" s="151"/>
      <c r="AN12" s="22"/>
      <c r="AO12" s="22"/>
    </row>
    <row r="13" spans="1:41" ht="20.100000000000001" customHeight="1">
      <c r="A13" s="693"/>
      <c r="B13" s="694"/>
      <c r="C13" s="694"/>
      <c r="D13" s="694"/>
      <c r="E13" s="694"/>
      <c r="F13" s="694"/>
      <c r="G13" s="694"/>
      <c r="H13" s="695"/>
      <c r="I13" s="662"/>
      <c r="J13" s="663"/>
      <c r="K13" s="57"/>
      <c r="L13" s="152" t="s">
        <v>241</v>
      </c>
      <c r="M13" s="57"/>
      <c r="N13" s="152" t="s">
        <v>707</v>
      </c>
      <c r="O13" s="57"/>
      <c r="P13" s="153" t="s">
        <v>221</v>
      </c>
      <c r="Q13" s="689"/>
      <c r="R13" s="544"/>
      <c r="S13" s="544"/>
      <c r="T13" s="544"/>
      <c r="U13" s="544"/>
      <c r="V13" s="544"/>
      <c r="W13" s="544"/>
      <c r="X13" s="544"/>
      <c r="Y13" s="544"/>
      <c r="Z13" s="545"/>
      <c r="AB13" s="294" t="str">
        <f t="shared" ref="AB13:AB23" si="0">IF(K13="","",AD13&amp;TEXT((DATE(K13,M13,O13)),"yymmdd"))</f>
        <v/>
      </c>
      <c r="AC13" s="151"/>
      <c r="AD13" s="142" t="str">
        <f t="shared" ref="AD13:AD23" si="1">IF(I13="","",VLOOKUP(I13,$AE$5:$AF$9,2,FALSE))</f>
        <v/>
      </c>
      <c r="AE13" s="151"/>
      <c r="AF13" s="151"/>
      <c r="AG13" s="151"/>
      <c r="AH13" s="151"/>
      <c r="AI13" s="151"/>
      <c r="AJ13" s="151"/>
      <c r="AK13" s="151"/>
      <c r="AL13" s="151"/>
      <c r="AN13" s="22"/>
      <c r="AO13" s="22"/>
    </row>
    <row r="14" spans="1:41" ht="20.100000000000001" customHeight="1">
      <c r="A14" s="690"/>
      <c r="B14" s="691"/>
      <c r="C14" s="691"/>
      <c r="D14" s="691"/>
      <c r="E14" s="691"/>
      <c r="F14" s="691"/>
      <c r="G14" s="691"/>
      <c r="H14" s="692"/>
      <c r="I14" s="660"/>
      <c r="J14" s="661"/>
      <c r="K14" s="56"/>
      <c r="L14" s="149" t="s">
        <v>241</v>
      </c>
      <c r="M14" s="56"/>
      <c r="N14" s="149" t="s">
        <v>707</v>
      </c>
      <c r="O14" s="56"/>
      <c r="P14" s="150" t="s">
        <v>221</v>
      </c>
      <c r="Q14" s="686"/>
      <c r="R14" s="687"/>
      <c r="S14" s="687"/>
      <c r="T14" s="687"/>
      <c r="U14" s="687"/>
      <c r="V14" s="687"/>
      <c r="W14" s="687"/>
      <c r="X14" s="687"/>
      <c r="Y14" s="687"/>
      <c r="Z14" s="688"/>
      <c r="AB14" s="294" t="str">
        <f t="shared" si="0"/>
        <v/>
      </c>
      <c r="AC14" s="154"/>
      <c r="AD14" s="142" t="str">
        <f t="shared" si="1"/>
        <v/>
      </c>
      <c r="AE14" s="154"/>
      <c r="AF14" s="154"/>
      <c r="AG14" s="154"/>
      <c r="AH14" s="154"/>
      <c r="AI14" s="154"/>
      <c r="AJ14" s="154"/>
      <c r="AK14" s="154"/>
      <c r="AL14" s="154"/>
      <c r="AN14" s="22"/>
      <c r="AO14" s="22"/>
    </row>
    <row r="15" spans="1:41" ht="20.100000000000001" customHeight="1">
      <c r="A15" s="693"/>
      <c r="B15" s="694"/>
      <c r="C15" s="694"/>
      <c r="D15" s="694"/>
      <c r="E15" s="694"/>
      <c r="F15" s="694"/>
      <c r="G15" s="694"/>
      <c r="H15" s="695"/>
      <c r="I15" s="662"/>
      <c r="J15" s="663"/>
      <c r="K15" s="57"/>
      <c r="L15" s="152" t="s">
        <v>241</v>
      </c>
      <c r="M15" s="57"/>
      <c r="N15" s="152" t="s">
        <v>707</v>
      </c>
      <c r="O15" s="57"/>
      <c r="P15" s="153" t="s">
        <v>221</v>
      </c>
      <c r="Q15" s="689"/>
      <c r="R15" s="544"/>
      <c r="S15" s="544"/>
      <c r="T15" s="544"/>
      <c r="U15" s="544"/>
      <c r="V15" s="544"/>
      <c r="W15" s="544"/>
      <c r="X15" s="544"/>
      <c r="Y15" s="544"/>
      <c r="Z15" s="545"/>
      <c r="AB15" s="294" t="str">
        <f t="shared" si="0"/>
        <v/>
      </c>
      <c r="AC15" s="154"/>
      <c r="AD15" s="142" t="str">
        <f t="shared" si="1"/>
        <v/>
      </c>
      <c r="AE15" s="154"/>
      <c r="AF15" s="154"/>
      <c r="AG15" s="154"/>
      <c r="AH15" s="154"/>
      <c r="AI15" s="154"/>
      <c r="AJ15" s="154"/>
      <c r="AK15" s="154"/>
      <c r="AL15" s="154"/>
      <c r="AN15" s="22"/>
      <c r="AO15" s="22"/>
    </row>
    <row r="16" spans="1:41" ht="20.100000000000001" customHeight="1">
      <c r="A16" s="690"/>
      <c r="B16" s="691"/>
      <c r="C16" s="691"/>
      <c r="D16" s="691"/>
      <c r="E16" s="691"/>
      <c r="F16" s="691"/>
      <c r="G16" s="691"/>
      <c r="H16" s="692"/>
      <c r="I16" s="660"/>
      <c r="J16" s="661"/>
      <c r="K16" s="56"/>
      <c r="L16" s="149" t="s">
        <v>705</v>
      </c>
      <c r="M16" s="56"/>
      <c r="N16" s="149" t="s">
        <v>707</v>
      </c>
      <c r="O16" s="56"/>
      <c r="P16" s="150" t="s">
        <v>706</v>
      </c>
      <c r="Q16" s="686"/>
      <c r="R16" s="687"/>
      <c r="S16" s="687"/>
      <c r="T16" s="687"/>
      <c r="U16" s="687"/>
      <c r="V16" s="687"/>
      <c r="W16" s="687"/>
      <c r="X16" s="687"/>
      <c r="Y16" s="687"/>
      <c r="Z16" s="688"/>
      <c r="AB16" s="294" t="str">
        <f t="shared" si="0"/>
        <v/>
      </c>
      <c r="AC16" s="154"/>
      <c r="AD16" s="142" t="str">
        <f t="shared" si="1"/>
        <v/>
      </c>
      <c r="AE16" s="154"/>
      <c r="AF16" s="154"/>
      <c r="AG16" s="154"/>
      <c r="AH16" s="154"/>
      <c r="AI16" s="154"/>
      <c r="AJ16" s="154"/>
      <c r="AK16" s="154"/>
      <c r="AL16" s="154"/>
      <c r="AN16" s="22"/>
      <c r="AO16" s="22"/>
    </row>
    <row r="17" spans="1:41" ht="20.100000000000001" customHeight="1">
      <c r="A17" s="693"/>
      <c r="B17" s="694"/>
      <c r="C17" s="694"/>
      <c r="D17" s="694"/>
      <c r="E17" s="694"/>
      <c r="F17" s="694"/>
      <c r="G17" s="694"/>
      <c r="H17" s="695"/>
      <c r="I17" s="662"/>
      <c r="J17" s="663"/>
      <c r="K17" s="57"/>
      <c r="L17" s="152" t="s">
        <v>705</v>
      </c>
      <c r="M17" s="57"/>
      <c r="N17" s="152" t="s">
        <v>707</v>
      </c>
      <c r="O17" s="57"/>
      <c r="P17" s="153" t="s">
        <v>706</v>
      </c>
      <c r="Q17" s="689"/>
      <c r="R17" s="544"/>
      <c r="S17" s="544"/>
      <c r="T17" s="544"/>
      <c r="U17" s="544"/>
      <c r="V17" s="544"/>
      <c r="W17" s="544"/>
      <c r="X17" s="544"/>
      <c r="Y17" s="544"/>
      <c r="Z17" s="545"/>
      <c r="AB17" s="294" t="str">
        <f t="shared" si="0"/>
        <v/>
      </c>
      <c r="AC17" s="154"/>
      <c r="AD17" s="142" t="str">
        <f t="shared" si="1"/>
        <v/>
      </c>
      <c r="AE17" s="154"/>
      <c r="AF17" s="154"/>
      <c r="AG17" s="154"/>
      <c r="AH17" s="154"/>
      <c r="AI17" s="154"/>
      <c r="AJ17" s="154"/>
      <c r="AK17" s="154"/>
      <c r="AL17" s="154"/>
      <c r="AN17" s="22"/>
      <c r="AO17" s="22"/>
    </row>
    <row r="18" spans="1:41" ht="20.100000000000001" customHeight="1">
      <c r="A18" s="690"/>
      <c r="B18" s="691"/>
      <c r="C18" s="691"/>
      <c r="D18" s="691"/>
      <c r="E18" s="691"/>
      <c r="F18" s="691"/>
      <c r="G18" s="691"/>
      <c r="H18" s="692"/>
      <c r="I18" s="660"/>
      <c r="J18" s="661"/>
      <c r="K18" s="56"/>
      <c r="L18" s="149" t="s">
        <v>705</v>
      </c>
      <c r="M18" s="56"/>
      <c r="N18" s="149" t="s">
        <v>707</v>
      </c>
      <c r="O18" s="56"/>
      <c r="P18" s="150" t="s">
        <v>706</v>
      </c>
      <c r="Q18" s="686"/>
      <c r="R18" s="687"/>
      <c r="S18" s="687"/>
      <c r="T18" s="687"/>
      <c r="U18" s="687"/>
      <c r="V18" s="687"/>
      <c r="W18" s="687"/>
      <c r="X18" s="687"/>
      <c r="Y18" s="687"/>
      <c r="Z18" s="688"/>
      <c r="AB18" s="294" t="str">
        <f t="shared" si="0"/>
        <v/>
      </c>
      <c r="AC18" s="154"/>
      <c r="AD18" s="142" t="str">
        <f t="shared" si="1"/>
        <v/>
      </c>
      <c r="AE18" s="154"/>
      <c r="AF18" s="154"/>
      <c r="AG18" s="154"/>
      <c r="AH18" s="154"/>
      <c r="AI18" s="154"/>
      <c r="AJ18" s="154"/>
      <c r="AK18" s="154"/>
      <c r="AL18" s="154"/>
      <c r="AN18" s="22"/>
      <c r="AO18" s="22"/>
    </row>
    <row r="19" spans="1:41" ht="20.100000000000001" customHeight="1">
      <c r="A19" s="693"/>
      <c r="B19" s="694"/>
      <c r="C19" s="694"/>
      <c r="D19" s="694"/>
      <c r="E19" s="694"/>
      <c r="F19" s="694"/>
      <c r="G19" s="694"/>
      <c r="H19" s="695"/>
      <c r="I19" s="662"/>
      <c r="J19" s="663"/>
      <c r="K19" s="57"/>
      <c r="L19" s="152" t="s">
        <v>705</v>
      </c>
      <c r="M19" s="57"/>
      <c r="N19" s="152" t="s">
        <v>707</v>
      </c>
      <c r="O19" s="57"/>
      <c r="P19" s="153" t="s">
        <v>706</v>
      </c>
      <c r="Q19" s="689"/>
      <c r="R19" s="544"/>
      <c r="S19" s="544"/>
      <c r="T19" s="544"/>
      <c r="U19" s="544"/>
      <c r="V19" s="544"/>
      <c r="W19" s="544"/>
      <c r="X19" s="544"/>
      <c r="Y19" s="544"/>
      <c r="Z19" s="545"/>
      <c r="AB19" s="294" t="str">
        <f t="shared" si="0"/>
        <v/>
      </c>
      <c r="AC19" s="154"/>
      <c r="AD19" s="142" t="str">
        <f t="shared" si="1"/>
        <v/>
      </c>
      <c r="AE19" s="154"/>
      <c r="AF19" s="154"/>
      <c r="AG19" s="154"/>
      <c r="AH19" s="154"/>
      <c r="AI19" s="154"/>
      <c r="AJ19" s="154"/>
      <c r="AK19" s="154"/>
      <c r="AL19" s="154"/>
      <c r="AN19" s="22"/>
      <c r="AO19" s="22"/>
    </row>
    <row r="20" spans="1:41" ht="20.100000000000001" customHeight="1">
      <c r="A20" s="690"/>
      <c r="B20" s="691"/>
      <c r="C20" s="691"/>
      <c r="D20" s="691"/>
      <c r="E20" s="691"/>
      <c r="F20" s="691"/>
      <c r="G20" s="691"/>
      <c r="H20" s="692"/>
      <c r="I20" s="660"/>
      <c r="J20" s="661"/>
      <c r="K20" s="56"/>
      <c r="L20" s="149" t="s">
        <v>705</v>
      </c>
      <c r="M20" s="56"/>
      <c r="N20" s="149" t="s">
        <v>707</v>
      </c>
      <c r="O20" s="56"/>
      <c r="P20" s="150" t="s">
        <v>706</v>
      </c>
      <c r="Q20" s="686"/>
      <c r="R20" s="687"/>
      <c r="S20" s="687"/>
      <c r="T20" s="687"/>
      <c r="U20" s="687"/>
      <c r="V20" s="687"/>
      <c r="W20" s="687"/>
      <c r="X20" s="687"/>
      <c r="Y20" s="687"/>
      <c r="Z20" s="688"/>
      <c r="AB20" s="294" t="str">
        <f t="shared" si="0"/>
        <v/>
      </c>
      <c r="AC20" s="154"/>
      <c r="AD20" s="142" t="str">
        <f t="shared" si="1"/>
        <v/>
      </c>
      <c r="AE20" s="154"/>
      <c r="AF20" s="154"/>
      <c r="AG20" s="154"/>
      <c r="AH20" s="154"/>
      <c r="AI20" s="154"/>
      <c r="AJ20" s="154"/>
      <c r="AK20" s="154"/>
      <c r="AL20" s="154"/>
      <c r="AN20" s="22"/>
      <c r="AO20" s="22"/>
    </row>
    <row r="21" spans="1:41" ht="20.100000000000001" customHeight="1">
      <c r="A21" s="693"/>
      <c r="B21" s="694"/>
      <c r="C21" s="694"/>
      <c r="D21" s="694"/>
      <c r="E21" s="694"/>
      <c r="F21" s="694"/>
      <c r="G21" s="694"/>
      <c r="H21" s="695"/>
      <c r="I21" s="662"/>
      <c r="J21" s="663"/>
      <c r="K21" s="57"/>
      <c r="L21" s="152" t="s">
        <v>705</v>
      </c>
      <c r="M21" s="57"/>
      <c r="N21" s="152" t="s">
        <v>707</v>
      </c>
      <c r="O21" s="57"/>
      <c r="P21" s="153" t="s">
        <v>706</v>
      </c>
      <c r="Q21" s="689"/>
      <c r="R21" s="544"/>
      <c r="S21" s="544"/>
      <c r="T21" s="544"/>
      <c r="U21" s="544"/>
      <c r="V21" s="544"/>
      <c r="W21" s="544"/>
      <c r="X21" s="544"/>
      <c r="Y21" s="544"/>
      <c r="Z21" s="545"/>
      <c r="AB21" s="294" t="str">
        <f t="shared" si="0"/>
        <v/>
      </c>
      <c r="AC21" s="154"/>
      <c r="AD21" s="142" t="str">
        <f t="shared" si="1"/>
        <v/>
      </c>
      <c r="AE21" s="154"/>
      <c r="AF21" s="154"/>
      <c r="AG21" s="154"/>
      <c r="AH21" s="154"/>
      <c r="AI21" s="154"/>
      <c r="AJ21" s="154"/>
      <c r="AK21" s="154"/>
      <c r="AL21" s="154"/>
      <c r="AN21" s="22"/>
      <c r="AO21" s="22"/>
    </row>
    <row r="22" spans="1:41" ht="20.100000000000001" customHeight="1">
      <c r="A22" s="690"/>
      <c r="B22" s="691"/>
      <c r="C22" s="691"/>
      <c r="D22" s="691"/>
      <c r="E22" s="691"/>
      <c r="F22" s="691"/>
      <c r="G22" s="691"/>
      <c r="H22" s="692"/>
      <c r="I22" s="660"/>
      <c r="J22" s="661"/>
      <c r="K22" s="56"/>
      <c r="L22" s="149" t="s">
        <v>705</v>
      </c>
      <c r="M22" s="56"/>
      <c r="N22" s="149" t="s">
        <v>707</v>
      </c>
      <c r="O22" s="56"/>
      <c r="P22" s="150" t="s">
        <v>706</v>
      </c>
      <c r="Q22" s="686"/>
      <c r="R22" s="687"/>
      <c r="S22" s="687"/>
      <c r="T22" s="687"/>
      <c r="U22" s="687"/>
      <c r="V22" s="687"/>
      <c r="W22" s="687"/>
      <c r="X22" s="687"/>
      <c r="Y22" s="687"/>
      <c r="Z22" s="688"/>
      <c r="AB22" s="294" t="str">
        <f t="shared" si="0"/>
        <v/>
      </c>
      <c r="AC22" s="154"/>
      <c r="AD22" s="142" t="str">
        <f t="shared" si="1"/>
        <v/>
      </c>
      <c r="AE22" s="154"/>
      <c r="AF22" s="154"/>
      <c r="AG22" s="154"/>
      <c r="AH22" s="154"/>
      <c r="AI22" s="154"/>
      <c r="AJ22" s="154"/>
      <c r="AK22" s="154"/>
      <c r="AL22" s="154"/>
      <c r="AN22" s="22"/>
      <c r="AO22" s="22"/>
    </row>
    <row r="23" spans="1:41" ht="20.100000000000001" customHeight="1">
      <c r="A23" s="693"/>
      <c r="B23" s="694"/>
      <c r="C23" s="694"/>
      <c r="D23" s="694"/>
      <c r="E23" s="694"/>
      <c r="F23" s="694"/>
      <c r="G23" s="694"/>
      <c r="H23" s="695"/>
      <c r="I23" s="662"/>
      <c r="J23" s="663"/>
      <c r="K23" s="57"/>
      <c r="L23" s="152" t="s">
        <v>705</v>
      </c>
      <c r="M23" s="57"/>
      <c r="N23" s="152" t="s">
        <v>707</v>
      </c>
      <c r="O23" s="57"/>
      <c r="P23" s="153" t="s">
        <v>706</v>
      </c>
      <c r="Q23" s="689"/>
      <c r="R23" s="544"/>
      <c r="S23" s="544"/>
      <c r="T23" s="544"/>
      <c r="U23" s="544"/>
      <c r="V23" s="544"/>
      <c r="W23" s="544"/>
      <c r="X23" s="544"/>
      <c r="Y23" s="544"/>
      <c r="Z23" s="545"/>
      <c r="AB23" s="294" t="str">
        <f t="shared" si="0"/>
        <v/>
      </c>
      <c r="AC23" s="154"/>
      <c r="AD23" s="142" t="str">
        <f t="shared" si="1"/>
        <v/>
      </c>
      <c r="AE23" s="154"/>
      <c r="AF23" s="154"/>
      <c r="AG23" s="154"/>
      <c r="AH23" s="154"/>
      <c r="AI23" s="154"/>
      <c r="AJ23" s="154"/>
      <c r="AK23" s="154"/>
      <c r="AL23" s="154"/>
      <c r="AO23" s="22"/>
    </row>
    <row r="24" spans="1:41" ht="8.25" customHeight="1">
      <c r="A24" s="155"/>
      <c r="B24" s="79"/>
      <c r="C24" s="79"/>
      <c r="D24" s="79"/>
      <c r="E24" s="79"/>
      <c r="F24" s="79"/>
      <c r="G24" s="79"/>
      <c r="H24" s="79"/>
      <c r="I24" s="79"/>
      <c r="J24" s="79"/>
      <c r="K24" s="79"/>
      <c r="L24" s="79"/>
      <c r="M24" s="79"/>
      <c r="N24" s="79"/>
      <c r="O24" s="79"/>
      <c r="P24" s="79"/>
      <c r="Q24" s="79"/>
      <c r="R24" s="79"/>
      <c r="S24" s="79"/>
      <c r="T24" s="79"/>
      <c r="U24" s="79"/>
      <c r="V24" s="79"/>
      <c r="W24" s="79"/>
      <c r="X24" s="79"/>
      <c r="Y24" s="79"/>
      <c r="Z24" s="81"/>
      <c r="AC24" s="115"/>
      <c r="AD24" s="115"/>
      <c r="AE24" s="115"/>
      <c r="AF24" s="115"/>
      <c r="AG24" s="115"/>
      <c r="AH24" s="115"/>
      <c r="AI24" s="115"/>
      <c r="AJ24" s="115"/>
    </row>
    <row r="25" spans="1:41" ht="15" customHeight="1">
      <c r="A25" s="461" t="s">
        <v>5</v>
      </c>
      <c r="B25" s="462"/>
      <c r="C25" s="156" t="s">
        <v>731</v>
      </c>
      <c r="D25" s="17"/>
      <c r="E25" s="17"/>
      <c r="F25" s="17"/>
      <c r="G25" s="17"/>
      <c r="H25" s="17"/>
      <c r="I25" s="17"/>
      <c r="J25" s="17"/>
      <c r="K25" s="17"/>
      <c r="L25" s="17"/>
      <c r="M25" s="17"/>
      <c r="N25" s="17"/>
      <c r="O25" s="17"/>
      <c r="P25" s="17"/>
      <c r="Q25" s="17"/>
      <c r="R25" s="17"/>
      <c r="S25" s="17"/>
      <c r="T25" s="17"/>
      <c r="U25" s="17"/>
      <c r="V25" s="17"/>
      <c r="W25" s="17"/>
      <c r="X25" s="17"/>
      <c r="Y25" s="17"/>
      <c r="Z25" s="73"/>
      <c r="AC25" s="115"/>
      <c r="AD25" s="115"/>
      <c r="AE25" s="115"/>
      <c r="AF25" s="115"/>
      <c r="AG25" s="115"/>
      <c r="AH25" s="115"/>
      <c r="AI25" s="115"/>
      <c r="AJ25" s="115"/>
    </row>
    <row r="26" spans="1:41" ht="3" customHeight="1">
      <c r="A26" s="89"/>
      <c r="B26" s="90"/>
      <c r="C26" s="156"/>
      <c r="D26" s="17"/>
      <c r="E26" s="17"/>
      <c r="F26" s="17"/>
      <c r="G26" s="17"/>
      <c r="H26" s="17"/>
      <c r="I26" s="17"/>
      <c r="J26" s="17"/>
      <c r="K26" s="17"/>
      <c r="L26" s="17"/>
      <c r="M26" s="17"/>
      <c r="N26" s="17"/>
      <c r="O26" s="17"/>
      <c r="P26" s="17"/>
      <c r="Q26" s="17"/>
      <c r="R26" s="17"/>
      <c r="S26" s="17"/>
      <c r="T26" s="17"/>
      <c r="U26" s="17"/>
      <c r="V26" s="17"/>
      <c r="W26" s="17"/>
      <c r="X26" s="17"/>
      <c r="Y26" s="17"/>
      <c r="Z26" s="73"/>
      <c r="AC26" s="115"/>
      <c r="AD26" s="115"/>
      <c r="AE26" s="115"/>
      <c r="AF26" s="115"/>
      <c r="AG26" s="115"/>
      <c r="AH26" s="115"/>
      <c r="AI26" s="115"/>
      <c r="AJ26" s="115"/>
    </row>
    <row r="27" spans="1:41" ht="15" customHeight="1">
      <c r="A27" s="76"/>
      <c r="B27" s="17"/>
      <c r="C27" s="156" t="s">
        <v>730</v>
      </c>
      <c r="D27" s="17"/>
      <c r="E27" s="17"/>
      <c r="F27" s="17"/>
      <c r="G27" s="17"/>
      <c r="H27" s="17"/>
      <c r="I27" s="17"/>
      <c r="J27" s="17"/>
      <c r="K27" s="17"/>
      <c r="L27" s="17"/>
      <c r="M27" s="17"/>
      <c r="N27" s="17"/>
      <c r="O27" s="17"/>
      <c r="P27" s="17"/>
      <c r="Q27" s="17"/>
      <c r="R27" s="17"/>
      <c r="S27" s="17"/>
      <c r="T27" s="17"/>
      <c r="U27" s="17"/>
      <c r="V27" s="17"/>
      <c r="W27" s="17"/>
      <c r="X27" s="17"/>
      <c r="Y27" s="17"/>
      <c r="Z27" s="73"/>
      <c r="AC27" s="115"/>
      <c r="AD27" s="115"/>
      <c r="AE27" s="115"/>
      <c r="AF27" s="115"/>
      <c r="AG27" s="115"/>
      <c r="AH27" s="115"/>
      <c r="AI27" s="115"/>
      <c r="AJ27" s="115"/>
    </row>
    <row r="28" spans="1:41" ht="15" customHeight="1">
      <c r="A28" s="76"/>
      <c r="B28" s="17"/>
      <c r="C28" s="156" t="s">
        <v>732</v>
      </c>
      <c r="D28" s="17"/>
      <c r="E28" s="17"/>
      <c r="F28" s="17"/>
      <c r="G28" s="17"/>
      <c r="H28" s="17"/>
      <c r="I28" s="17"/>
      <c r="J28" s="17"/>
      <c r="K28" s="17"/>
      <c r="L28" s="17"/>
      <c r="M28" s="17"/>
      <c r="N28" s="17"/>
      <c r="O28" s="17"/>
      <c r="P28" s="17"/>
      <c r="Q28" s="17"/>
      <c r="R28" s="17"/>
      <c r="S28" s="17"/>
      <c r="T28" s="17"/>
      <c r="U28" s="17"/>
      <c r="V28" s="17"/>
      <c r="W28" s="17"/>
      <c r="X28" s="17"/>
      <c r="Y28" s="17"/>
      <c r="Z28" s="73"/>
      <c r="AC28" s="115"/>
      <c r="AD28" s="115"/>
      <c r="AE28" s="115"/>
      <c r="AF28" s="115"/>
      <c r="AG28" s="115"/>
      <c r="AH28" s="115"/>
      <c r="AI28" s="115"/>
      <c r="AJ28" s="115"/>
    </row>
    <row r="29" spans="1:41" ht="8.25" customHeight="1" thickBot="1">
      <c r="A29" s="82"/>
      <c r="B29" s="83"/>
      <c r="C29" s="83"/>
      <c r="D29" s="83"/>
      <c r="E29" s="83"/>
      <c r="F29" s="83"/>
      <c r="G29" s="83"/>
      <c r="H29" s="83"/>
      <c r="I29" s="83"/>
      <c r="J29" s="83"/>
      <c r="K29" s="83"/>
      <c r="L29" s="83"/>
      <c r="M29" s="83"/>
      <c r="N29" s="83"/>
      <c r="O29" s="83"/>
      <c r="P29" s="83"/>
      <c r="Q29" s="83"/>
      <c r="R29" s="83"/>
      <c r="S29" s="83"/>
      <c r="T29" s="83"/>
      <c r="U29" s="83"/>
      <c r="V29" s="83"/>
      <c r="W29" s="83"/>
      <c r="X29" s="83"/>
      <c r="Y29" s="83"/>
      <c r="Z29" s="84"/>
      <c r="AC29" s="115"/>
      <c r="AD29" s="115"/>
      <c r="AE29" s="115"/>
      <c r="AF29" s="115"/>
      <c r="AG29" s="115"/>
      <c r="AH29" s="115"/>
      <c r="AI29" s="115"/>
      <c r="AJ29" s="115"/>
    </row>
    <row r="30" spans="1:41">
      <c r="A30" s="676" t="s">
        <v>93</v>
      </c>
      <c r="B30" s="699"/>
      <c r="C30" s="699"/>
      <c r="D30" s="699"/>
      <c r="E30" s="699"/>
      <c r="F30" s="699"/>
      <c r="G30" s="699"/>
      <c r="H30" s="699"/>
      <c r="I30" s="699"/>
      <c r="J30" s="699"/>
      <c r="K30" s="699"/>
      <c r="L30" s="699"/>
      <c r="M30" s="699"/>
      <c r="N30" s="699"/>
      <c r="O30" s="699"/>
      <c r="P30" s="699"/>
      <c r="Q30" s="699"/>
      <c r="R30" s="699"/>
      <c r="S30" s="699"/>
      <c r="T30" s="699"/>
      <c r="U30" s="699"/>
      <c r="V30" s="699"/>
      <c r="W30" s="699"/>
      <c r="X30" s="699"/>
      <c r="Y30" s="699"/>
      <c r="Z30" s="700"/>
      <c r="AC30" s="115"/>
      <c r="AD30" s="115"/>
      <c r="AE30" s="115"/>
      <c r="AF30" s="115"/>
      <c r="AG30" s="115"/>
      <c r="AH30" s="115"/>
      <c r="AI30" s="115"/>
      <c r="AJ30" s="115"/>
    </row>
    <row r="31" spans="1:41">
      <c r="A31" s="701"/>
      <c r="B31" s="702"/>
      <c r="C31" s="702"/>
      <c r="D31" s="702"/>
      <c r="E31" s="702"/>
      <c r="F31" s="702"/>
      <c r="G31" s="702"/>
      <c r="H31" s="702"/>
      <c r="I31" s="702"/>
      <c r="J31" s="702"/>
      <c r="K31" s="702"/>
      <c r="L31" s="702"/>
      <c r="M31" s="702"/>
      <c r="N31" s="702"/>
      <c r="O31" s="702"/>
      <c r="P31" s="702"/>
      <c r="Q31" s="702"/>
      <c r="R31" s="702"/>
      <c r="S31" s="702"/>
      <c r="T31" s="702"/>
      <c r="U31" s="702"/>
      <c r="V31" s="702"/>
      <c r="W31" s="702"/>
      <c r="X31" s="702"/>
      <c r="Y31" s="702"/>
      <c r="Z31" s="703"/>
      <c r="AC31" s="115"/>
      <c r="AD31" s="115"/>
      <c r="AE31" s="115"/>
      <c r="AF31" s="115"/>
      <c r="AG31" s="115"/>
      <c r="AH31" s="115"/>
      <c r="AI31" s="115"/>
      <c r="AJ31" s="115"/>
    </row>
    <row r="32" spans="1:41" ht="21" customHeight="1">
      <c r="A32" s="698" t="s">
        <v>118</v>
      </c>
      <c r="B32" s="477"/>
      <c r="C32" s="477"/>
      <c r="D32" s="477"/>
      <c r="E32" s="477"/>
      <c r="F32" s="477"/>
      <c r="G32" s="477"/>
      <c r="H32" s="477"/>
      <c r="I32" s="486"/>
      <c r="J32" s="707"/>
      <c r="K32" s="704"/>
      <c r="L32" s="704"/>
      <c r="M32" s="121" t="s">
        <v>241</v>
      </c>
      <c r="N32" s="99"/>
      <c r="O32" s="121" t="s">
        <v>240</v>
      </c>
      <c r="P32" s="99"/>
      <c r="Q32" s="121" t="s">
        <v>239</v>
      </c>
      <c r="R32" s="93" t="s">
        <v>8</v>
      </c>
      <c r="S32" s="704"/>
      <c r="T32" s="704"/>
      <c r="U32" s="704"/>
      <c r="V32" s="121" t="s">
        <v>241</v>
      </c>
      <c r="W32" s="99"/>
      <c r="X32" s="121" t="s">
        <v>240</v>
      </c>
      <c r="Y32" s="99"/>
      <c r="Z32" s="157" t="s">
        <v>239</v>
      </c>
      <c r="AB32" s="299"/>
      <c r="AC32" s="115"/>
      <c r="AD32" s="115"/>
      <c r="AE32" s="115"/>
      <c r="AF32" s="115"/>
      <c r="AG32" s="115"/>
      <c r="AH32" s="115"/>
      <c r="AI32" s="115"/>
      <c r="AJ32" s="115"/>
    </row>
    <row r="33" spans="1:36" ht="21" customHeight="1">
      <c r="A33" s="698" t="s">
        <v>119</v>
      </c>
      <c r="B33" s="477"/>
      <c r="C33" s="477"/>
      <c r="D33" s="477"/>
      <c r="E33" s="477"/>
      <c r="F33" s="477"/>
      <c r="G33" s="477"/>
      <c r="H33" s="477"/>
      <c r="I33" s="486"/>
      <c r="J33" s="696"/>
      <c r="K33" s="697"/>
      <c r="L33" s="697"/>
      <c r="M33" s="697"/>
      <c r="N33" s="697"/>
      <c r="O33" s="697"/>
      <c r="P33" s="697"/>
      <c r="Q33" s="697"/>
      <c r="R33" s="697"/>
      <c r="S33" s="697"/>
      <c r="T33" s="697"/>
      <c r="U33" s="697"/>
      <c r="V33" s="697"/>
      <c r="W33" s="46" t="s">
        <v>6</v>
      </c>
      <c r="X33" s="95"/>
      <c r="Y33" s="705" t="s">
        <v>591</v>
      </c>
      <c r="Z33" s="706"/>
      <c r="AC33" s="115"/>
      <c r="AD33" s="115"/>
      <c r="AE33" s="115"/>
      <c r="AF33" s="115"/>
      <c r="AG33" s="115"/>
      <c r="AH33" s="115"/>
      <c r="AI33" s="115"/>
      <c r="AJ33" s="115"/>
    </row>
    <row r="34" spans="1:36" ht="21" customHeight="1">
      <c r="A34" s="698" t="s">
        <v>7</v>
      </c>
      <c r="B34" s="477"/>
      <c r="C34" s="477"/>
      <c r="D34" s="477"/>
      <c r="E34" s="477"/>
      <c r="F34" s="477"/>
      <c r="G34" s="477"/>
      <c r="H34" s="477"/>
      <c r="I34" s="486"/>
      <c r="J34" s="696"/>
      <c r="K34" s="697"/>
      <c r="L34" s="697"/>
      <c r="M34" s="697"/>
      <c r="N34" s="697"/>
      <c r="O34" s="697"/>
      <c r="P34" s="697"/>
      <c r="Q34" s="697"/>
      <c r="R34" s="697"/>
      <c r="S34" s="697"/>
      <c r="T34" s="697"/>
      <c r="U34" s="697"/>
      <c r="V34" s="697"/>
      <c r="W34" s="46" t="s">
        <v>6</v>
      </c>
      <c r="X34" s="93"/>
      <c r="Y34" s="705" t="s">
        <v>591</v>
      </c>
      <c r="Z34" s="706"/>
      <c r="AC34" s="115"/>
      <c r="AD34" s="115"/>
      <c r="AE34" s="115"/>
      <c r="AF34" s="115"/>
      <c r="AG34" s="115"/>
      <c r="AH34" s="115"/>
      <c r="AI34" s="115"/>
      <c r="AJ34" s="115"/>
    </row>
    <row r="35" spans="1:36" ht="7.5" customHeight="1">
      <c r="A35" s="158"/>
      <c r="B35" s="159"/>
      <c r="C35" s="160"/>
      <c r="D35" s="159"/>
      <c r="E35" s="159"/>
      <c r="F35" s="159"/>
      <c r="G35" s="159"/>
      <c r="H35" s="159"/>
      <c r="I35" s="159"/>
      <c r="J35" s="159"/>
      <c r="K35" s="159"/>
      <c r="L35" s="159"/>
      <c r="M35" s="159"/>
      <c r="N35" s="159"/>
      <c r="O35" s="159"/>
      <c r="P35" s="159"/>
      <c r="Q35" s="159"/>
      <c r="R35" s="159"/>
      <c r="S35" s="159"/>
      <c r="T35" s="159"/>
      <c r="U35" s="159"/>
      <c r="V35" s="159"/>
      <c r="W35" s="159"/>
      <c r="X35" s="159"/>
      <c r="Y35" s="159"/>
      <c r="Z35" s="161"/>
    </row>
    <row r="36" spans="1:36" ht="14.1" customHeight="1">
      <c r="A36" s="162"/>
      <c r="B36" s="163" t="s">
        <v>733</v>
      </c>
      <c r="C36" s="21"/>
      <c r="D36" s="21"/>
      <c r="E36" s="21"/>
      <c r="F36" s="21"/>
      <c r="G36" s="21"/>
      <c r="H36" s="21"/>
      <c r="I36" s="21"/>
      <c r="J36" s="21"/>
      <c r="K36" s="21"/>
      <c r="L36" s="8"/>
      <c r="M36" s="8"/>
      <c r="N36" s="8"/>
      <c r="O36" s="8"/>
      <c r="P36" s="8"/>
      <c r="Q36" s="8"/>
      <c r="R36" s="8"/>
      <c r="S36" s="8"/>
      <c r="T36" s="8"/>
      <c r="U36" s="8"/>
      <c r="V36" s="8"/>
      <c r="W36" s="8"/>
      <c r="X36" s="8"/>
      <c r="Y36" s="8"/>
      <c r="Z36" s="164"/>
      <c r="AA36" s="8"/>
    </row>
    <row r="37" spans="1:36" ht="14.1" customHeight="1">
      <c r="A37" s="165"/>
      <c r="B37" s="163" t="s">
        <v>734</v>
      </c>
      <c r="C37" s="21"/>
      <c r="D37" s="21"/>
      <c r="E37" s="21"/>
      <c r="F37" s="21"/>
      <c r="G37" s="21"/>
      <c r="H37" s="21"/>
      <c r="I37" s="21"/>
      <c r="J37" s="21"/>
      <c r="K37" s="21"/>
      <c r="L37" s="8"/>
      <c r="M37" s="8"/>
      <c r="N37" s="8"/>
      <c r="O37" s="8"/>
      <c r="P37" s="8"/>
      <c r="Q37" s="8"/>
      <c r="R37" s="8"/>
      <c r="S37" s="8"/>
      <c r="T37" s="8"/>
      <c r="U37" s="8"/>
      <c r="V37" s="8"/>
      <c r="W37" s="8"/>
      <c r="X37" s="8"/>
      <c r="Y37" s="8"/>
      <c r="Z37" s="164"/>
      <c r="AA37" s="8"/>
    </row>
    <row r="38" spans="1:36" ht="6" customHeight="1" thickBot="1">
      <c r="A38" s="166"/>
      <c r="B38" s="167"/>
      <c r="C38" s="168"/>
      <c r="D38" s="167"/>
      <c r="E38" s="167"/>
      <c r="F38" s="167"/>
      <c r="G38" s="167"/>
      <c r="H38" s="167"/>
      <c r="I38" s="167"/>
      <c r="J38" s="167"/>
      <c r="K38" s="167"/>
      <c r="L38" s="167"/>
      <c r="M38" s="167"/>
      <c r="N38" s="167"/>
      <c r="O38" s="167"/>
      <c r="P38" s="167"/>
      <c r="Q38" s="167"/>
      <c r="R38" s="167"/>
      <c r="S38" s="167"/>
      <c r="T38" s="167"/>
      <c r="U38" s="167"/>
      <c r="V38" s="167"/>
      <c r="W38" s="167"/>
      <c r="X38" s="167"/>
      <c r="Y38" s="167"/>
      <c r="Z38" s="169"/>
    </row>
    <row r="39" spans="1:36">
      <c r="A39" s="676" t="s">
        <v>723</v>
      </c>
      <c r="B39" s="677"/>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8"/>
    </row>
    <row r="40" spans="1:36">
      <c r="A40" s="679"/>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1"/>
    </row>
    <row r="41" spans="1:36" ht="11.25" customHeight="1">
      <c r="A41" s="470" t="s">
        <v>9</v>
      </c>
      <c r="B41" s="667"/>
      <c r="C41" s="667"/>
      <c r="D41" s="667"/>
      <c r="E41" s="667"/>
      <c r="F41" s="667"/>
      <c r="G41" s="667"/>
      <c r="H41" s="667"/>
      <c r="I41" s="472" t="s">
        <v>664</v>
      </c>
      <c r="J41" s="667"/>
      <c r="K41" s="667"/>
      <c r="L41" s="667"/>
      <c r="M41" s="472" t="s">
        <v>9</v>
      </c>
      <c r="N41" s="667"/>
      <c r="O41" s="667"/>
      <c r="P41" s="667"/>
      <c r="Q41" s="667"/>
      <c r="R41" s="667"/>
      <c r="S41" s="667"/>
      <c r="T41" s="667"/>
      <c r="U41" s="667"/>
      <c r="V41" s="672"/>
      <c r="W41" s="472" t="s">
        <v>664</v>
      </c>
      <c r="X41" s="667"/>
      <c r="Y41" s="667"/>
      <c r="Z41" s="668"/>
    </row>
    <row r="42" spans="1:36" ht="11.25" customHeight="1">
      <c r="A42" s="682"/>
      <c r="B42" s="670"/>
      <c r="C42" s="670"/>
      <c r="D42" s="670"/>
      <c r="E42" s="670"/>
      <c r="F42" s="670"/>
      <c r="G42" s="670"/>
      <c r="H42" s="670"/>
      <c r="I42" s="669"/>
      <c r="J42" s="670"/>
      <c r="K42" s="670"/>
      <c r="L42" s="670"/>
      <c r="M42" s="669"/>
      <c r="N42" s="670"/>
      <c r="O42" s="670"/>
      <c r="P42" s="670"/>
      <c r="Q42" s="670"/>
      <c r="R42" s="670"/>
      <c r="S42" s="670"/>
      <c r="T42" s="670"/>
      <c r="U42" s="670"/>
      <c r="V42" s="673"/>
      <c r="W42" s="669"/>
      <c r="X42" s="670"/>
      <c r="Y42" s="670"/>
      <c r="Z42" s="671"/>
      <c r="AB42" s="295" t="s">
        <v>737</v>
      </c>
    </row>
    <row r="43" spans="1:36" ht="20.100000000000001" customHeight="1">
      <c r="A43" s="683" t="s">
        <v>667</v>
      </c>
      <c r="B43" s="665"/>
      <c r="C43" s="665"/>
      <c r="D43" s="665"/>
      <c r="E43" s="665"/>
      <c r="F43" s="665"/>
      <c r="G43" s="665"/>
      <c r="H43" s="665"/>
      <c r="I43" s="684"/>
      <c r="J43" s="674"/>
      <c r="K43" s="674"/>
      <c r="L43" s="685"/>
      <c r="M43" s="664" t="s">
        <v>669</v>
      </c>
      <c r="N43" s="665"/>
      <c r="O43" s="665"/>
      <c r="P43" s="665"/>
      <c r="Q43" s="665"/>
      <c r="R43" s="665"/>
      <c r="S43" s="665"/>
      <c r="T43" s="665"/>
      <c r="U43" s="665"/>
      <c r="V43" s="666"/>
      <c r="W43" s="674"/>
      <c r="X43" s="674"/>
      <c r="Y43" s="674"/>
      <c r="Z43" s="675"/>
      <c r="AB43" s="294" t="str">
        <f>IF(I43="該当あり","yes","no")</f>
        <v>no</v>
      </c>
      <c r="AE43" s="2" t="s">
        <v>665</v>
      </c>
    </row>
    <row r="44" spans="1:36" ht="20.100000000000001" customHeight="1">
      <c r="A44" s="683" t="s">
        <v>668</v>
      </c>
      <c r="B44" s="665"/>
      <c r="C44" s="665"/>
      <c r="D44" s="665"/>
      <c r="E44" s="665"/>
      <c r="F44" s="665"/>
      <c r="G44" s="665"/>
      <c r="H44" s="665"/>
      <c r="I44" s="684"/>
      <c r="J44" s="674"/>
      <c r="K44" s="674"/>
      <c r="L44" s="685"/>
      <c r="M44" s="664" t="s">
        <v>67</v>
      </c>
      <c r="N44" s="665"/>
      <c r="O44" s="665"/>
      <c r="P44" s="665"/>
      <c r="Q44" s="665"/>
      <c r="R44" s="665"/>
      <c r="S44" s="665"/>
      <c r="T44" s="665"/>
      <c r="U44" s="665"/>
      <c r="V44" s="666"/>
      <c r="W44" s="674"/>
      <c r="X44" s="674"/>
      <c r="Y44" s="674"/>
      <c r="Z44" s="675"/>
      <c r="AB44" s="294" t="str">
        <f>IF(I44="該当あり","yes","no")</f>
        <v>no</v>
      </c>
      <c r="AE44" s="2" t="s">
        <v>666</v>
      </c>
    </row>
    <row r="45" spans="1:36" ht="6.75" customHeight="1">
      <c r="A45" s="158"/>
      <c r="B45" s="159"/>
      <c r="C45" s="160"/>
      <c r="D45" s="159"/>
      <c r="E45" s="159"/>
      <c r="F45" s="159"/>
      <c r="G45" s="159"/>
      <c r="H45" s="159"/>
      <c r="I45" s="159"/>
      <c r="J45" s="159"/>
      <c r="K45" s="159"/>
      <c r="L45" s="159"/>
      <c r="M45" s="170"/>
      <c r="N45" s="170"/>
      <c r="O45" s="170"/>
      <c r="P45" s="170"/>
      <c r="Q45" s="170"/>
      <c r="R45" s="170"/>
      <c r="S45" s="170"/>
      <c r="T45" s="170"/>
      <c r="U45" s="170"/>
      <c r="V45" s="170"/>
      <c r="W45" s="170"/>
      <c r="X45" s="170"/>
      <c r="Y45" s="170"/>
      <c r="Z45" s="171"/>
      <c r="AB45" s="294" t="str">
        <f>IF(W43="該当あり","yes","no")</f>
        <v>no</v>
      </c>
    </row>
    <row r="46" spans="1:36" s="71" customFormat="1" ht="18" customHeight="1">
      <c r="A46" s="162"/>
      <c r="B46" s="172" t="s">
        <v>824</v>
      </c>
      <c r="C46" s="173"/>
      <c r="D46" s="170"/>
      <c r="E46" s="170"/>
      <c r="F46" s="170"/>
      <c r="G46" s="170"/>
      <c r="H46" s="170"/>
      <c r="I46" s="170"/>
      <c r="J46" s="170"/>
      <c r="K46" s="170"/>
      <c r="L46" s="170"/>
      <c r="M46" s="170"/>
      <c r="N46" s="170"/>
      <c r="O46" s="170"/>
      <c r="P46" s="170"/>
      <c r="Q46" s="170"/>
      <c r="R46" s="170"/>
      <c r="S46" s="170"/>
      <c r="T46" s="170"/>
      <c r="U46" s="170"/>
      <c r="V46" s="170"/>
      <c r="W46" s="170"/>
      <c r="X46" s="170"/>
      <c r="Y46" s="170"/>
      <c r="Z46" s="164"/>
      <c r="AA46" s="8"/>
      <c r="AB46" s="294" t="str">
        <f>IF(W44="該当あり","yes","no")</f>
        <v>no</v>
      </c>
    </row>
    <row r="47" spans="1:36" s="71" customFormat="1" ht="14.1" customHeight="1">
      <c r="A47" s="162"/>
      <c r="B47" s="172" t="s">
        <v>815</v>
      </c>
      <c r="C47" s="174"/>
      <c r="D47" s="175"/>
      <c r="E47" s="175"/>
      <c r="F47" s="175"/>
      <c r="G47" s="175"/>
      <c r="H47" s="175"/>
      <c r="I47" s="175"/>
      <c r="J47" s="175"/>
      <c r="K47" s="175"/>
      <c r="L47" s="175"/>
      <c r="M47" s="175"/>
      <c r="N47" s="175"/>
      <c r="O47" s="175"/>
      <c r="P47" s="175"/>
      <c r="Q47" s="175"/>
      <c r="R47" s="175"/>
      <c r="S47" s="175"/>
      <c r="T47" s="175"/>
      <c r="U47" s="175"/>
      <c r="V47" s="175"/>
      <c r="W47" s="175"/>
      <c r="X47" s="175"/>
      <c r="Y47" s="175"/>
      <c r="Z47" s="164"/>
      <c r="AA47" s="8"/>
      <c r="AB47" s="295"/>
    </row>
    <row r="48" spans="1:36" s="71" customFormat="1" ht="17.100000000000001" customHeight="1">
      <c r="A48" s="162"/>
      <c r="B48" s="172" t="s">
        <v>823</v>
      </c>
      <c r="C48" s="174"/>
      <c r="D48" s="175"/>
      <c r="E48" s="175"/>
      <c r="F48" s="175"/>
      <c r="G48" s="175"/>
      <c r="H48" s="175"/>
      <c r="I48" s="175"/>
      <c r="J48" s="175"/>
      <c r="K48" s="175"/>
      <c r="L48" s="175"/>
      <c r="M48" s="175"/>
      <c r="N48" s="175"/>
      <c r="O48" s="175"/>
      <c r="P48" s="175"/>
      <c r="Q48" s="175"/>
      <c r="R48" s="175"/>
      <c r="S48" s="175"/>
      <c r="T48" s="175"/>
      <c r="U48" s="175"/>
      <c r="V48" s="175"/>
      <c r="W48" s="175"/>
      <c r="X48" s="175"/>
      <c r="Y48" s="175"/>
      <c r="Z48" s="164"/>
      <c r="AA48" s="8"/>
      <c r="AB48" s="295"/>
    </row>
    <row r="49" spans="1:26" ht="6" customHeight="1" thickBot="1">
      <c r="A49" s="166"/>
      <c r="B49" s="167"/>
      <c r="C49" s="168"/>
      <c r="D49" s="167"/>
      <c r="E49" s="167"/>
      <c r="F49" s="167"/>
      <c r="G49" s="167"/>
      <c r="H49" s="167"/>
      <c r="I49" s="167"/>
      <c r="J49" s="167"/>
      <c r="K49" s="167"/>
      <c r="L49" s="167"/>
      <c r="M49" s="167"/>
      <c r="N49" s="167"/>
      <c r="O49" s="167"/>
      <c r="P49" s="167"/>
      <c r="Q49" s="167"/>
      <c r="R49" s="167"/>
      <c r="S49" s="167"/>
      <c r="T49" s="167"/>
      <c r="U49" s="167"/>
      <c r="V49" s="167"/>
      <c r="W49" s="167"/>
      <c r="X49" s="167"/>
      <c r="Y49" s="167"/>
      <c r="Z49" s="169"/>
    </row>
  </sheetData>
  <sheetProtection selectLockedCells="1"/>
  <mergeCells count="61">
    <mergeCell ref="B5:D6"/>
    <mergeCell ref="Q12:Z13"/>
    <mergeCell ref="Q14:Z15"/>
    <mergeCell ref="Q16:Z17"/>
    <mergeCell ref="A2:Z3"/>
    <mergeCell ref="A8:Z9"/>
    <mergeCell ref="A10:H11"/>
    <mergeCell ref="I10:P10"/>
    <mergeCell ref="I11:P11"/>
    <mergeCell ref="Q10:Z11"/>
    <mergeCell ref="L5:M6"/>
    <mergeCell ref="F5:G6"/>
    <mergeCell ref="H5:H6"/>
    <mergeCell ref="I5:J6"/>
    <mergeCell ref="K5:K6"/>
    <mergeCell ref="N5:N6"/>
    <mergeCell ref="I44:L44"/>
    <mergeCell ref="A44:H44"/>
    <mergeCell ref="A12:H13"/>
    <mergeCell ref="A14:H15"/>
    <mergeCell ref="A16:H17"/>
    <mergeCell ref="J34:V34"/>
    <mergeCell ref="A33:I33"/>
    <mergeCell ref="A25:B25"/>
    <mergeCell ref="J33:V33"/>
    <mergeCell ref="A34:I34"/>
    <mergeCell ref="A32:I32"/>
    <mergeCell ref="A30:Z31"/>
    <mergeCell ref="S32:U32"/>
    <mergeCell ref="Y33:Z33"/>
    <mergeCell ref="Y34:Z34"/>
    <mergeCell ref="J32:L32"/>
    <mergeCell ref="Q20:Z21"/>
    <mergeCell ref="A18:H19"/>
    <mergeCell ref="A20:H21"/>
    <mergeCell ref="A22:H23"/>
    <mergeCell ref="Q18:Z19"/>
    <mergeCell ref="Q22:Z23"/>
    <mergeCell ref="I19:J19"/>
    <mergeCell ref="I20:J20"/>
    <mergeCell ref="I21:J21"/>
    <mergeCell ref="I22:J22"/>
    <mergeCell ref="A39:Z40"/>
    <mergeCell ref="A41:H42"/>
    <mergeCell ref="A43:H43"/>
    <mergeCell ref="I41:L42"/>
    <mergeCell ref="I43:L43"/>
    <mergeCell ref="M44:V44"/>
    <mergeCell ref="W41:Z42"/>
    <mergeCell ref="M41:V42"/>
    <mergeCell ref="W43:Z43"/>
    <mergeCell ref="M43:V43"/>
    <mergeCell ref="W44:Z44"/>
    <mergeCell ref="I12:J12"/>
    <mergeCell ref="I13:J13"/>
    <mergeCell ref="I23:J23"/>
    <mergeCell ref="I14:J14"/>
    <mergeCell ref="I15:J15"/>
    <mergeCell ref="I16:J16"/>
    <mergeCell ref="I17:J17"/>
    <mergeCell ref="I18:J18"/>
  </mergeCells>
  <phoneticPr fontId="2"/>
  <conditionalFormatting sqref="Z32 X32">
    <cfRule type="expression" dxfId="280" priority="69" stopIfTrue="1">
      <formula>#REF!="TRUE"</formula>
    </cfRule>
  </conditionalFormatting>
  <conditionalFormatting sqref="M32 O32 Q32">
    <cfRule type="expression" dxfId="279" priority="71" stopIfTrue="1">
      <formula>#REF!="TRUE"</formula>
    </cfRule>
  </conditionalFormatting>
  <conditionalFormatting sqref="A39">
    <cfRule type="expression" dxfId="278" priority="73" stopIfTrue="1">
      <formula>#REF!=1</formula>
    </cfRule>
    <cfRule type="expression" dxfId="277" priority="74" stopIfTrue="1">
      <formula>#REF!=2</formula>
    </cfRule>
  </conditionalFormatting>
  <conditionalFormatting sqref="A43">
    <cfRule type="expression" dxfId="276" priority="105" stopIfTrue="1">
      <formula>G46=1</formula>
    </cfRule>
    <cfRule type="expression" dxfId="275" priority="106" stopIfTrue="1">
      <formula>G46=2</formula>
    </cfRule>
  </conditionalFormatting>
  <conditionalFormatting sqref="A44">
    <cfRule type="expression" dxfId="274" priority="61" stopIfTrue="1">
      <formula>G46=1</formula>
    </cfRule>
    <cfRule type="expression" dxfId="273" priority="62" stopIfTrue="1">
      <formula>G46=2</formula>
    </cfRule>
  </conditionalFormatting>
  <conditionalFormatting sqref="M43">
    <cfRule type="expression" dxfId="272" priority="43" stopIfTrue="1">
      <formula>S47=1</formula>
    </cfRule>
    <cfRule type="expression" dxfId="271" priority="44" stopIfTrue="1">
      <formula>S47=2</formula>
    </cfRule>
  </conditionalFormatting>
  <conditionalFormatting sqref="W43:Z43">
    <cfRule type="expression" dxfId="270" priority="42">
      <formula>W43&lt;&gt;""</formula>
    </cfRule>
  </conditionalFormatting>
  <conditionalFormatting sqref="M44">
    <cfRule type="expression" dxfId="269" priority="39" stopIfTrue="1">
      <formula>S48=1</formula>
    </cfRule>
    <cfRule type="expression" dxfId="268" priority="40" stopIfTrue="1">
      <formula>S48=2</formula>
    </cfRule>
  </conditionalFormatting>
  <conditionalFormatting sqref="A41 M41">
    <cfRule type="expression" dxfId="267" priority="131" stopIfTrue="1">
      <formula>#REF!=1</formula>
    </cfRule>
    <cfRule type="expression" dxfId="266" priority="132" stopIfTrue="1">
      <formula>#REF!=2</formula>
    </cfRule>
  </conditionalFormatting>
  <conditionalFormatting sqref="I44:L44">
    <cfRule type="expression" dxfId="265" priority="37">
      <formula>I44&lt;&gt;""</formula>
    </cfRule>
  </conditionalFormatting>
  <conditionalFormatting sqref="W44">
    <cfRule type="cellIs" dxfId="264" priority="36" stopIfTrue="1" operator="notEqual">
      <formula>""</formula>
    </cfRule>
  </conditionalFormatting>
  <conditionalFormatting sqref="W44:Z44">
    <cfRule type="expression" dxfId="263" priority="35">
      <formula>W44&lt;&gt;""</formula>
    </cfRule>
  </conditionalFormatting>
  <conditionalFormatting sqref="I43:L44 W43:Z44">
    <cfRule type="cellIs" dxfId="262" priority="20" operator="notEqual">
      <formula>""</formula>
    </cfRule>
  </conditionalFormatting>
  <conditionalFormatting sqref="A12:H23">
    <cfRule type="cellIs" dxfId="261" priority="25" operator="notEqual">
      <formula>""</formula>
    </cfRule>
  </conditionalFormatting>
  <conditionalFormatting sqref="Q12:Z23">
    <cfRule type="cellIs" dxfId="260" priority="23" operator="notEqual">
      <formula>""</formula>
    </cfRule>
  </conditionalFormatting>
  <conditionalFormatting sqref="J32 N32 P32 S32 W32 Y32 J33 J34">
    <cfRule type="cellIs" dxfId="259" priority="21" operator="notEqual">
      <formula>""</formula>
    </cfRule>
  </conditionalFormatting>
  <conditionalFormatting sqref="F5 I5 L5">
    <cfRule type="cellIs" dxfId="258" priority="14" stopIfTrue="1" operator="notEqual">
      <formula>""</formula>
    </cfRule>
  </conditionalFormatting>
  <conditionalFormatting sqref="U5:Y6 H5">
    <cfRule type="cellIs" dxfId="257" priority="15" stopIfTrue="1" operator="equal">
      <formula>"年月日に誤りがあるか、計算範囲外にあります。"</formula>
    </cfRule>
  </conditionalFormatting>
  <conditionalFormatting sqref="B5">
    <cfRule type="expression" dxfId="256" priority="12">
      <formula>B5&lt;&gt;""</formula>
    </cfRule>
  </conditionalFormatting>
  <conditionalFormatting sqref="I16 I18 I20 I22 K16 K18 K20 K22 O16 O18 O20 O22 M16 M18 M20 M22">
    <cfRule type="cellIs" dxfId="255" priority="10" operator="notEqual">
      <formula>""</formula>
    </cfRule>
  </conditionalFormatting>
  <conditionalFormatting sqref="I17 I19 I21 I23 K17 K19 K21 K23 O17 O19 O21 O23 M17 M19 M21 M23">
    <cfRule type="cellIs" dxfId="254" priority="9" operator="notEqual">
      <formula>""</formula>
    </cfRule>
  </conditionalFormatting>
  <conditionalFormatting sqref="K12 O12 M12">
    <cfRule type="cellIs" dxfId="253" priority="8" operator="notEqual">
      <formula>""</formula>
    </cfRule>
  </conditionalFormatting>
  <conditionalFormatting sqref="K13 O13 M13">
    <cfRule type="cellIs" dxfId="252" priority="7" operator="notEqual">
      <formula>""</formula>
    </cfRule>
  </conditionalFormatting>
  <conditionalFormatting sqref="K14 O14 M14">
    <cfRule type="cellIs" dxfId="251" priority="6" operator="notEqual">
      <formula>""</formula>
    </cfRule>
  </conditionalFormatting>
  <conditionalFormatting sqref="K15 O15 M15">
    <cfRule type="cellIs" dxfId="250" priority="5" operator="notEqual">
      <formula>""</formula>
    </cfRule>
  </conditionalFormatting>
  <conditionalFormatting sqref="I12">
    <cfRule type="cellIs" dxfId="249" priority="4" operator="notEqual">
      <formula>""</formula>
    </cfRule>
  </conditionalFormatting>
  <conditionalFormatting sqref="I13">
    <cfRule type="cellIs" dxfId="248" priority="3" operator="notEqual">
      <formula>""</formula>
    </cfRule>
  </conditionalFormatting>
  <conditionalFormatting sqref="I14">
    <cfRule type="cellIs" dxfId="247" priority="2" operator="notEqual">
      <formula>""</formula>
    </cfRule>
  </conditionalFormatting>
  <conditionalFormatting sqref="I15">
    <cfRule type="cellIs" dxfId="246" priority="1" operator="notEqual">
      <formula>""</formula>
    </cfRule>
  </conditionalFormatting>
  <dataValidations xWindow="47" yWindow="226" count="5">
    <dataValidation imeMode="disabled" allowBlank="1" showInputMessage="1" showErrorMessage="1" sqref="F5:G6 I5:J6 L5:M6 M12:M23 O12:O23 J33:V34 N32 P32 W32 Y32 K12:K23" xr:uid="{00000000-0002-0000-0200-000000000000}"/>
    <dataValidation imeMode="on" allowBlank="1" showInputMessage="1" showErrorMessage="1" sqref="A12:H23 L12:L23 N12:N23 P12:Z23" xr:uid="{00000000-0002-0000-0200-000001000000}"/>
    <dataValidation type="list" allowBlank="1" showInputMessage="1" showErrorMessage="1" sqref="I43:L44 W43:Z44" xr:uid="{00000000-0002-0000-0200-000002000000}">
      <formula1>$AE$43:$AE$44</formula1>
    </dataValidation>
    <dataValidation type="list" allowBlank="1" showInputMessage="1" showErrorMessage="1" sqref="B5" xr:uid="{00000000-0002-0000-0200-000003000000}">
      <formula1>$AE$5:$AE$9</formula1>
    </dataValidation>
    <dataValidation type="list" imeMode="on" allowBlank="1" showInputMessage="1" showErrorMessage="1" sqref="I12:J23" xr:uid="{00000000-0002-0000-0200-000004000000}">
      <formula1>$AE$5:$AE$9</formula1>
    </dataValidation>
  </dataValidations>
  <pageMargins left="0.78740157480314965" right="0.39370078740157483" top="0.78740157480314965" bottom="0.78740157480314965" header="0.51181102362204722" footer="0.51181102362204722"/>
  <pageSetup paperSize="9" fitToWidth="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N40"/>
  <sheetViews>
    <sheetView showGridLines="0" showZeros="0" view="pageBreakPreview" zoomScaleNormal="100" zoomScaleSheetLayoutView="100" workbookViewId="0">
      <selection activeCell="A4" sqref="A4:AE13"/>
    </sheetView>
  </sheetViews>
  <sheetFormatPr defaultColWidth="2.75" defaultRowHeight="13.5"/>
  <cols>
    <col min="1" max="32" width="2.75" style="2" customWidth="1"/>
    <col min="33" max="33" width="8" style="295" customWidth="1"/>
    <col min="34" max="34" width="13.375" style="2" hidden="1" customWidth="1"/>
    <col min="35" max="36" width="4.375" style="2" customWidth="1"/>
    <col min="37" max="37" width="11.75" style="2" customWidth="1"/>
    <col min="38" max="38" width="12.875" style="2" hidden="1" customWidth="1"/>
    <col min="39" max="40" width="4.375" style="2" hidden="1" customWidth="1"/>
    <col min="41" max="46" width="4.375" style="2" customWidth="1"/>
    <col min="47" max="47" width="2.75" style="2" customWidth="1"/>
    <col min="48" max="16384" width="2.75" style="2"/>
  </cols>
  <sheetData>
    <row r="1" spans="1:39" ht="21.75" customHeight="1" thickBot="1">
      <c r="A1" s="1" t="s">
        <v>94</v>
      </c>
      <c r="B1" s="4"/>
      <c r="C1" s="4"/>
      <c r="D1" s="4"/>
      <c r="E1" s="4"/>
      <c r="F1" s="4"/>
      <c r="G1" s="4"/>
      <c r="H1" s="4"/>
      <c r="I1" s="4"/>
      <c r="J1" s="4"/>
      <c r="K1" s="4"/>
      <c r="L1" s="4"/>
      <c r="M1" s="4"/>
      <c r="N1" s="4"/>
      <c r="O1" s="4"/>
      <c r="P1" s="4"/>
      <c r="Q1" s="4"/>
      <c r="R1" s="71" t="str">
        <f>IF(第１号様式!$H$21="","",第１号様式!$H$21)</f>
        <v/>
      </c>
      <c r="T1" s="4"/>
      <c r="U1" s="4"/>
      <c r="V1" s="4"/>
      <c r="W1" s="4"/>
      <c r="X1" s="4"/>
      <c r="Y1" s="4"/>
      <c r="Z1" s="4"/>
      <c r="AA1" s="4"/>
      <c r="AB1" s="4"/>
      <c r="AC1" s="4"/>
      <c r="AD1" s="4"/>
      <c r="AE1" s="4"/>
    </row>
    <row r="2" spans="1:39">
      <c r="A2" s="676" t="s">
        <v>736</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700"/>
    </row>
    <row r="3" spans="1:39">
      <c r="A3" s="701"/>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3"/>
      <c r="AG3" s="295" t="s">
        <v>737</v>
      </c>
      <c r="AH3" s="2" t="s">
        <v>675</v>
      </c>
      <c r="AL3" s="2" t="s">
        <v>675</v>
      </c>
      <c r="AM3" s="2" t="s">
        <v>676</v>
      </c>
    </row>
    <row r="4" spans="1:39" ht="28.5" customHeight="1">
      <c r="A4" s="738" t="s">
        <v>10</v>
      </c>
      <c r="B4" s="769"/>
      <c r="C4" s="576" t="s">
        <v>13</v>
      </c>
      <c r="D4" s="515"/>
      <c r="E4" s="515"/>
      <c r="F4" s="515"/>
      <c r="G4" s="515"/>
      <c r="H4" s="515"/>
      <c r="I4" s="653"/>
      <c r="J4" s="535"/>
      <c r="K4" s="536"/>
      <c r="L4" s="536"/>
      <c r="M4" s="536"/>
      <c r="N4" s="536"/>
      <c r="O4" s="536"/>
      <c r="P4" s="536"/>
      <c r="Q4" s="536"/>
      <c r="R4" s="536"/>
      <c r="S4" s="536"/>
      <c r="T4" s="536"/>
      <c r="U4" s="536"/>
      <c r="V4" s="536"/>
      <c r="W4" s="536"/>
      <c r="X4" s="536"/>
      <c r="Y4" s="536"/>
      <c r="Z4" s="536"/>
      <c r="AA4" s="536"/>
      <c r="AB4" s="536"/>
      <c r="AC4" s="536"/>
      <c r="AD4" s="536"/>
      <c r="AE4" s="540"/>
      <c r="AG4" s="294" t="str">
        <f>IF(J4="","",IF(J4="代理人を置く","yes","no"))</f>
        <v/>
      </c>
      <c r="AH4" s="2" t="s">
        <v>676</v>
      </c>
      <c r="AL4" s="2" t="s">
        <v>674</v>
      </c>
      <c r="AM4" s="2" t="s">
        <v>673</v>
      </c>
    </row>
    <row r="5" spans="1:39" ht="18.75" customHeight="1">
      <c r="A5" s="740"/>
      <c r="B5" s="770"/>
      <c r="C5" s="576" t="s">
        <v>45</v>
      </c>
      <c r="D5" s="515"/>
      <c r="E5" s="515"/>
      <c r="F5" s="534"/>
      <c r="G5" s="565" t="s">
        <v>242</v>
      </c>
      <c r="H5" s="566"/>
      <c r="I5" s="567"/>
      <c r="J5" s="766"/>
      <c r="K5" s="767"/>
      <c r="L5" s="767"/>
      <c r="M5" s="767"/>
      <c r="N5" s="767"/>
      <c r="O5" s="767"/>
      <c r="P5" s="767"/>
      <c r="Q5" s="767"/>
      <c r="R5" s="767"/>
      <c r="S5" s="767"/>
      <c r="T5" s="767"/>
      <c r="U5" s="767"/>
      <c r="V5" s="767"/>
      <c r="W5" s="767"/>
      <c r="X5" s="767"/>
      <c r="Y5" s="767"/>
      <c r="Z5" s="767"/>
      <c r="AA5" s="767"/>
      <c r="AB5" s="767"/>
      <c r="AC5" s="767"/>
      <c r="AD5" s="767"/>
      <c r="AE5" s="768"/>
      <c r="AM5" s="2" t="s">
        <v>674</v>
      </c>
    </row>
    <row r="6" spans="1:39" ht="13.5" customHeight="1">
      <c r="A6" s="740"/>
      <c r="B6" s="770"/>
      <c r="C6" s="576"/>
      <c r="D6" s="515"/>
      <c r="E6" s="515"/>
      <c r="F6" s="534"/>
      <c r="G6" s="565" t="s">
        <v>671</v>
      </c>
      <c r="H6" s="566"/>
      <c r="I6" s="566"/>
      <c r="J6" s="567"/>
      <c r="K6" s="762" t="s">
        <v>672</v>
      </c>
      <c r="L6" s="762"/>
      <c r="M6" s="762"/>
      <c r="N6" s="762"/>
      <c r="O6" s="762"/>
      <c r="P6" s="762"/>
      <c r="Q6" s="762"/>
      <c r="R6" s="762"/>
      <c r="S6" s="762"/>
      <c r="T6" s="762"/>
      <c r="U6" s="762"/>
      <c r="V6" s="762"/>
      <c r="W6" s="762"/>
      <c r="X6" s="762"/>
      <c r="Y6" s="762"/>
      <c r="Z6" s="762"/>
      <c r="AA6" s="762"/>
      <c r="AB6" s="762"/>
      <c r="AC6" s="762"/>
      <c r="AD6" s="762"/>
      <c r="AE6" s="763"/>
    </row>
    <row r="7" spans="1:39" ht="30" customHeight="1">
      <c r="A7" s="740"/>
      <c r="B7" s="770"/>
      <c r="C7" s="576"/>
      <c r="D7" s="515"/>
      <c r="E7" s="515"/>
      <c r="F7" s="534"/>
      <c r="G7" s="570"/>
      <c r="H7" s="571"/>
      <c r="I7" s="571"/>
      <c r="J7" s="572"/>
      <c r="K7" s="764"/>
      <c r="L7" s="764"/>
      <c r="M7" s="764"/>
      <c r="N7" s="764"/>
      <c r="O7" s="764"/>
      <c r="P7" s="764"/>
      <c r="Q7" s="764"/>
      <c r="R7" s="764"/>
      <c r="S7" s="764"/>
      <c r="T7" s="764"/>
      <c r="U7" s="764"/>
      <c r="V7" s="764"/>
      <c r="W7" s="764"/>
      <c r="X7" s="764"/>
      <c r="Y7" s="764"/>
      <c r="Z7" s="764"/>
      <c r="AA7" s="764"/>
      <c r="AB7" s="764"/>
      <c r="AC7" s="764"/>
      <c r="AD7" s="764"/>
      <c r="AE7" s="765"/>
    </row>
    <row r="8" spans="1:39" ht="28.5" customHeight="1">
      <c r="A8" s="740"/>
      <c r="B8" s="770"/>
      <c r="C8" s="576" t="s">
        <v>543</v>
      </c>
      <c r="D8" s="515"/>
      <c r="E8" s="515"/>
      <c r="F8" s="534"/>
      <c r="G8" s="634"/>
      <c r="H8" s="635"/>
      <c r="I8" s="635"/>
      <c r="J8" s="635"/>
      <c r="K8" s="635"/>
      <c r="L8" s="635"/>
      <c r="M8" s="635"/>
      <c r="N8" s="635"/>
      <c r="O8" s="635"/>
      <c r="P8" s="760"/>
      <c r="Q8" s="502" t="s">
        <v>12</v>
      </c>
      <c r="R8" s="538"/>
      <c r="S8" s="538"/>
      <c r="T8" s="539"/>
      <c r="U8" s="635"/>
      <c r="V8" s="635"/>
      <c r="W8" s="635"/>
      <c r="X8" s="635"/>
      <c r="Y8" s="635"/>
      <c r="Z8" s="635"/>
      <c r="AA8" s="635"/>
      <c r="AB8" s="635"/>
      <c r="AC8" s="635"/>
      <c r="AD8" s="635"/>
      <c r="AE8" s="636"/>
    </row>
    <row r="9" spans="1:39" ht="29.1" customHeight="1">
      <c r="A9" s="740"/>
      <c r="B9" s="770"/>
      <c r="C9" s="584" t="s">
        <v>11</v>
      </c>
      <c r="D9" s="753"/>
      <c r="E9" s="753"/>
      <c r="F9" s="585"/>
      <c r="G9" s="516"/>
      <c r="H9" s="517"/>
      <c r="I9" s="517"/>
      <c r="J9" s="517"/>
      <c r="K9" s="517"/>
      <c r="L9" s="517"/>
      <c r="M9" s="517"/>
      <c r="N9" s="517"/>
      <c r="O9" s="517"/>
      <c r="P9" s="517"/>
      <c r="Q9" s="517"/>
      <c r="R9" s="517"/>
      <c r="S9" s="517"/>
      <c r="T9" s="517"/>
      <c r="U9" s="517"/>
      <c r="V9" s="517"/>
      <c r="W9" s="517"/>
      <c r="X9" s="517"/>
      <c r="Y9" s="517"/>
      <c r="Z9" s="517"/>
      <c r="AA9" s="517"/>
      <c r="AB9" s="517"/>
      <c r="AC9" s="517"/>
      <c r="AD9" s="517"/>
      <c r="AE9" s="518"/>
    </row>
    <row r="10" spans="1:39" ht="29.1" customHeight="1">
      <c r="A10" s="740"/>
      <c r="B10" s="770"/>
      <c r="C10" s="576" t="s">
        <v>670</v>
      </c>
      <c r="D10" s="534"/>
      <c r="E10" s="771"/>
      <c r="F10" s="772"/>
      <c r="G10" s="772"/>
      <c r="H10" s="772"/>
      <c r="I10" s="772"/>
      <c r="J10" s="772"/>
      <c r="K10" s="772"/>
      <c r="L10" s="772"/>
      <c r="M10" s="772"/>
      <c r="N10" s="772"/>
      <c r="O10" s="772"/>
      <c r="P10" s="773"/>
      <c r="Q10" s="502" t="s">
        <v>243</v>
      </c>
      <c r="R10" s="538"/>
      <c r="S10" s="538"/>
      <c r="T10" s="539"/>
      <c r="U10" s="535"/>
      <c r="V10" s="536"/>
      <c r="W10" s="536"/>
      <c r="X10" s="536"/>
      <c r="Y10" s="536"/>
      <c r="Z10" s="536"/>
      <c r="AA10" s="536"/>
      <c r="AB10" s="536"/>
      <c r="AC10" s="536"/>
      <c r="AD10" s="536"/>
      <c r="AE10" s="540"/>
    </row>
    <row r="11" spans="1:39">
      <c r="A11" s="100"/>
      <c r="B11" s="101"/>
      <c r="C11" s="72"/>
      <c r="D11" s="21"/>
      <c r="E11" s="21"/>
      <c r="F11" s="21"/>
      <c r="G11" s="21"/>
      <c r="H11" s="21"/>
      <c r="I11" s="21"/>
      <c r="J11" s="21"/>
      <c r="K11" s="21"/>
      <c r="L11" s="21"/>
      <c r="M11" s="21"/>
      <c r="N11" s="21"/>
      <c r="O11" s="21"/>
      <c r="P11" s="21"/>
      <c r="Q11" s="21"/>
      <c r="R11" s="21"/>
      <c r="S11" s="17"/>
      <c r="T11" s="17"/>
      <c r="U11" s="17"/>
      <c r="V11" s="17"/>
      <c r="W11" s="17"/>
      <c r="X11" s="17"/>
      <c r="Y11" s="17"/>
      <c r="Z11" s="17"/>
      <c r="AA11" s="17"/>
      <c r="AB11" s="17"/>
      <c r="AC11" s="17"/>
      <c r="AD11" s="17"/>
      <c r="AE11" s="73"/>
    </row>
    <row r="12" spans="1:39" ht="13.5" customHeight="1">
      <c r="A12" s="287"/>
      <c r="B12" s="156" t="s">
        <v>5</v>
      </c>
      <c r="C12" s="156"/>
      <c r="D12" s="744" t="s">
        <v>596</v>
      </c>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6"/>
    </row>
    <row r="13" spans="1:39" ht="13.5" customHeight="1">
      <c r="A13" s="287"/>
      <c r="B13" s="156"/>
      <c r="C13" s="156"/>
      <c r="D13" s="744" t="s">
        <v>595</v>
      </c>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6"/>
    </row>
    <row r="14" spans="1:39" ht="13.5" customHeight="1">
      <c r="A14" s="287"/>
      <c r="B14" s="156"/>
      <c r="C14" s="156"/>
      <c r="D14" s="156" t="s">
        <v>817</v>
      </c>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288"/>
      <c r="AD14" s="288"/>
      <c r="AE14" s="289"/>
    </row>
    <row r="15" spans="1:39">
      <c r="A15" s="287"/>
      <c r="B15" s="156"/>
      <c r="C15" s="156"/>
      <c r="D15" s="156" t="s">
        <v>597</v>
      </c>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288"/>
      <c r="AD15" s="288"/>
      <c r="AE15" s="289"/>
    </row>
    <row r="16" spans="1:39">
      <c r="A16" s="287"/>
      <c r="B16" s="156"/>
      <c r="C16" s="156"/>
      <c r="D16" s="156" t="s">
        <v>818</v>
      </c>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288"/>
      <c r="AD16" s="288"/>
      <c r="AE16" s="289"/>
    </row>
    <row r="17" spans="1:34" ht="14.25" thickBot="1">
      <c r="A17" s="287"/>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288"/>
      <c r="AD17" s="288"/>
      <c r="AE17" s="289"/>
    </row>
    <row r="18" spans="1:34" ht="13.5" customHeight="1">
      <c r="A18" s="726" t="s">
        <v>724</v>
      </c>
      <c r="B18" s="727"/>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8"/>
    </row>
    <row r="19" spans="1:34">
      <c r="A19" s="729"/>
      <c r="B19" s="730"/>
      <c r="C19" s="730"/>
      <c r="D19" s="730"/>
      <c r="E19" s="730"/>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1"/>
    </row>
    <row r="20" spans="1:34" ht="17.100000000000001" customHeight="1">
      <c r="A20" s="732" t="s">
        <v>729</v>
      </c>
      <c r="B20" s="733"/>
      <c r="C20" s="733"/>
      <c r="D20" s="733"/>
      <c r="E20" s="733"/>
      <c r="F20" s="733"/>
      <c r="G20" s="733"/>
      <c r="H20" s="733"/>
      <c r="I20" s="733"/>
      <c r="J20" s="733"/>
      <c r="K20" s="733"/>
      <c r="L20" s="733"/>
      <c r="M20" s="733"/>
      <c r="N20" s="733"/>
      <c r="O20" s="733"/>
      <c r="P20" s="733"/>
      <c r="Q20" s="733"/>
      <c r="R20" s="733"/>
      <c r="S20" s="733"/>
      <c r="T20" s="733"/>
      <c r="U20" s="733"/>
      <c r="V20" s="733"/>
      <c r="W20" s="733"/>
      <c r="X20" s="733"/>
      <c r="Y20" s="733"/>
      <c r="Z20" s="733"/>
      <c r="AA20" s="733"/>
      <c r="AB20" s="733"/>
      <c r="AC20" s="733"/>
      <c r="AD20" s="733"/>
      <c r="AE20" s="734"/>
    </row>
    <row r="21" spans="1:34" ht="17.100000000000001" customHeight="1">
      <c r="A21" s="735"/>
      <c r="B21" s="736"/>
      <c r="C21" s="736"/>
      <c r="D21" s="736"/>
      <c r="E21" s="736"/>
      <c r="F21" s="736"/>
      <c r="G21" s="736"/>
      <c r="H21" s="736"/>
      <c r="I21" s="736"/>
      <c r="J21" s="736"/>
      <c r="K21" s="736"/>
      <c r="L21" s="736"/>
      <c r="M21" s="736"/>
      <c r="N21" s="736"/>
      <c r="O21" s="736"/>
      <c r="P21" s="736"/>
      <c r="Q21" s="736"/>
      <c r="R21" s="736"/>
      <c r="S21" s="736"/>
      <c r="T21" s="736"/>
      <c r="U21" s="736"/>
      <c r="V21" s="736"/>
      <c r="W21" s="736"/>
      <c r="X21" s="736"/>
      <c r="Y21" s="736"/>
      <c r="Z21" s="736"/>
      <c r="AA21" s="736"/>
      <c r="AB21" s="736"/>
      <c r="AC21" s="736"/>
      <c r="AD21" s="736"/>
      <c r="AE21" s="737"/>
      <c r="AG21" s="295" t="s">
        <v>737</v>
      </c>
    </row>
    <row r="22" spans="1:34" ht="29.25" customHeight="1">
      <c r="A22" s="747" t="s">
        <v>708</v>
      </c>
      <c r="B22" s="748"/>
      <c r="C22" s="748"/>
      <c r="D22" s="748"/>
      <c r="E22" s="748"/>
      <c r="F22" s="748"/>
      <c r="G22" s="748"/>
      <c r="H22" s="748"/>
      <c r="I22" s="749"/>
      <c r="J22" s="750"/>
      <c r="K22" s="751"/>
      <c r="L22" s="751"/>
      <c r="M22" s="751"/>
      <c r="N22" s="751"/>
      <c r="O22" s="751"/>
      <c r="P22" s="751"/>
      <c r="Q22" s="751"/>
      <c r="R22" s="751"/>
      <c r="S22" s="751"/>
      <c r="T22" s="751"/>
      <c r="U22" s="751"/>
      <c r="V22" s="751"/>
      <c r="W22" s="751"/>
      <c r="X22" s="751"/>
      <c r="Y22" s="751"/>
      <c r="Z22" s="751"/>
      <c r="AA22" s="751"/>
      <c r="AB22" s="751"/>
      <c r="AC22" s="751"/>
      <c r="AD22" s="751"/>
      <c r="AE22" s="752"/>
      <c r="AG22" s="294" t="str">
        <f>IF(J22="","",IF(J22="登録する","yes","no"))</f>
        <v/>
      </c>
    </row>
    <row r="23" spans="1:34" ht="11.25" customHeight="1">
      <c r="A23" s="76"/>
      <c r="B23" s="17"/>
      <c r="C23" s="17"/>
      <c r="D23" s="26"/>
      <c r="E23" s="21"/>
      <c r="F23" s="21"/>
      <c r="G23" s="21"/>
      <c r="H23" s="21"/>
      <c r="I23" s="21"/>
      <c r="J23" s="21"/>
      <c r="K23" s="21"/>
      <c r="L23" s="21"/>
      <c r="M23" s="17"/>
      <c r="N23" s="17"/>
      <c r="O23" s="17"/>
      <c r="P23" s="17"/>
      <c r="Q23" s="17"/>
      <c r="R23" s="17"/>
      <c r="S23" s="21"/>
      <c r="T23" s="21"/>
      <c r="U23" s="21"/>
      <c r="V23" s="21"/>
      <c r="W23" s="21"/>
      <c r="X23" s="21"/>
      <c r="Y23" s="21"/>
      <c r="Z23" s="21"/>
      <c r="AA23" s="17"/>
      <c r="AB23" s="17"/>
      <c r="AC23" s="17"/>
      <c r="AD23" s="17"/>
      <c r="AE23" s="73"/>
    </row>
    <row r="24" spans="1:34" s="71" customFormat="1" ht="13.5" customHeight="1">
      <c r="A24" s="76"/>
      <c r="B24" s="156" t="s">
        <v>5</v>
      </c>
      <c r="C24" s="156"/>
      <c r="D24" s="27" t="s">
        <v>819</v>
      </c>
      <c r="E24" s="156"/>
      <c r="F24" s="156"/>
      <c r="G24" s="17"/>
      <c r="H24" s="17"/>
      <c r="I24" s="17"/>
      <c r="J24" s="17"/>
      <c r="K24" s="17"/>
      <c r="L24" s="17"/>
      <c r="M24" s="17"/>
      <c r="N24" s="17"/>
      <c r="O24" s="17"/>
      <c r="P24" s="17"/>
      <c r="Q24" s="17"/>
      <c r="R24" s="17"/>
      <c r="S24" s="17"/>
      <c r="T24" s="17"/>
      <c r="U24" s="17"/>
      <c r="V24" s="17"/>
      <c r="W24" s="17"/>
      <c r="X24" s="17"/>
      <c r="Y24" s="17"/>
      <c r="Z24" s="17"/>
      <c r="AA24" s="17"/>
      <c r="AB24" s="17"/>
      <c r="AC24" s="17"/>
      <c r="AD24" s="17"/>
      <c r="AE24" s="73"/>
      <c r="AG24" s="295"/>
    </row>
    <row r="25" spans="1:34" s="71" customFormat="1" ht="7.5" customHeight="1">
      <c r="A25" s="76"/>
      <c r="B25" s="156"/>
      <c r="C25" s="286"/>
      <c r="E25" s="156"/>
      <c r="F25" s="156"/>
      <c r="G25" s="17"/>
      <c r="H25" s="17"/>
      <c r="I25" s="17"/>
      <c r="J25" s="17"/>
      <c r="K25" s="17"/>
      <c r="L25" s="17"/>
      <c r="M25" s="17"/>
      <c r="N25" s="17"/>
      <c r="O25" s="17"/>
      <c r="P25" s="17"/>
      <c r="Q25" s="17"/>
      <c r="R25" s="17"/>
      <c r="S25" s="17"/>
      <c r="T25" s="17"/>
      <c r="U25" s="17"/>
      <c r="V25" s="17"/>
      <c r="W25" s="17"/>
      <c r="X25" s="17"/>
      <c r="Y25" s="17"/>
      <c r="Z25" s="17"/>
      <c r="AA25" s="17"/>
      <c r="AB25" s="17"/>
      <c r="AC25" s="17"/>
      <c r="AD25" s="17"/>
      <c r="AE25" s="73"/>
      <c r="AG25" s="295"/>
    </row>
    <row r="26" spans="1:34" s="71" customFormat="1" ht="13.5" customHeight="1">
      <c r="A26" s="76"/>
      <c r="B26" s="156"/>
      <c r="D26" s="156" t="s">
        <v>820</v>
      </c>
      <c r="E26" s="156"/>
      <c r="F26" s="156"/>
      <c r="G26" s="17"/>
      <c r="H26" s="17"/>
      <c r="I26" s="17"/>
      <c r="J26" s="17"/>
      <c r="K26" s="17"/>
      <c r="L26" s="17"/>
      <c r="M26" s="17"/>
      <c r="N26" s="17"/>
      <c r="O26" s="17"/>
      <c r="P26" s="17"/>
      <c r="Q26" s="17"/>
      <c r="R26" s="17"/>
      <c r="S26" s="17"/>
      <c r="T26" s="17"/>
      <c r="U26" s="17"/>
      <c r="V26" s="17"/>
      <c r="W26" s="17"/>
      <c r="X26" s="17"/>
      <c r="Y26" s="17"/>
      <c r="Z26" s="17"/>
      <c r="AA26" s="17"/>
      <c r="AB26" s="17"/>
      <c r="AC26" s="17"/>
      <c r="AD26" s="17"/>
      <c r="AE26" s="73"/>
      <c r="AG26" s="295"/>
    </row>
    <row r="27" spans="1:34" ht="13.5" customHeight="1">
      <c r="A27" s="76"/>
      <c r="B27" s="156"/>
      <c r="C27" s="156" t="s">
        <v>821</v>
      </c>
      <c r="D27" s="27"/>
      <c r="E27" s="156"/>
      <c r="F27" s="156"/>
      <c r="G27" s="17"/>
      <c r="H27" s="17"/>
      <c r="I27" s="17"/>
      <c r="J27" s="17"/>
      <c r="K27" s="17"/>
      <c r="L27" s="17"/>
      <c r="M27" s="17"/>
      <c r="N27" s="17"/>
      <c r="O27" s="17"/>
      <c r="P27" s="17"/>
      <c r="Q27" s="17"/>
      <c r="R27" s="17"/>
      <c r="S27" s="17"/>
      <c r="T27" s="17"/>
      <c r="U27" s="17"/>
      <c r="V27" s="17"/>
      <c r="W27" s="17"/>
      <c r="X27" s="17"/>
      <c r="Y27" s="17"/>
      <c r="Z27" s="17"/>
      <c r="AA27" s="17"/>
      <c r="AB27" s="17"/>
      <c r="AC27" s="17"/>
      <c r="AD27" s="17"/>
      <c r="AE27" s="73"/>
    </row>
    <row r="28" spans="1:34" ht="14.25" thickBot="1">
      <c r="A28" s="7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73"/>
    </row>
    <row r="29" spans="1:34">
      <c r="A29" s="754" t="s">
        <v>816</v>
      </c>
      <c r="B29" s="755"/>
      <c r="C29" s="755"/>
      <c r="D29" s="755"/>
      <c r="E29" s="755"/>
      <c r="F29" s="755"/>
      <c r="G29" s="755"/>
      <c r="H29" s="755"/>
      <c r="I29" s="755"/>
      <c r="J29" s="755"/>
      <c r="K29" s="755"/>
      <c r="L29" s="755"/>
      <c r="M29" s="755"/>
      <c r="N29" s="755"/>
      <c r="O29" s="755"/>
      <c r="P29" s="755"/>
      <c r="Q29" s="755"/>
      <c r="R29" s="755"/>
      <c r="S29" s="755"/>
      <c r="T29" s="755"/>
      <c r="U29" s="755"/>
      <c r="V29" s="755"/>
      <c r="W29" s="755"/>
      <c r="X29" s="755"/>
      <c r="Y29" s="755"/>
      <c r="Z29" s="755"/>
      <c r="AA29" s="755"/>
      <c r="AB29" s="755"/>
      <c r="AC29" s="755"/>
      <c r="AD29" s="755"/>
      <c r="AE29" s="756"/>
    </row>
    <row r="30" spans="1:34">
      <c r="A30" s="757"/>
      <c r="B30" s="758"/>
      <c r="C30" s="758"/>
      <c r="D30" s="758"/>
      <c r="E30" s="758"/>
      <c r="F30" s="758"/>
      <c r="G30" s="758"/>
      <c r="H30" s="758"/>
      <c r="I30" s="758"/>
      <c r="J30" s="758"/>
      <c r="K30" s="758"/>
      <c r="L30" s="758"/>
      <c r="M30" s="758"/>
      <c r="N30" s="758"/>
      <c r="O30" s="758"/>
      <c r="P30" s="758"/>
      <c r="Q30" s="758"/>
      <c r="R30" s="758"/>
      <c r="S30" s="758"/>
      <c r="T30" s="758"/>
      <c r="U30" s="758"/>
      <c r="V30" s="758"/>
      <c r="W30" s="758"/>
      <c r="X30" s="758"/>
      <c r="Y30" s="758"/>
      <c r="Z30" s="758"/>
      <c r="AA30" s="758"/>
      <c r="AB30" s="758"/>
      <c r="AC30" s="758"/>
      <c r="AD30" s="758"/>
      <c r="AE30" s="759"/>
    </row>
    <row r="31" spans="1:34" ht="28.5" customHeight="1">
      <c r="A31" s="738" t="s">
        <v>563</v>
      </c>
      <c r="B31" s="739"/>
      <c r="C31" s="576" t="s">
        <v>564</v>
      </c>
      <c r="D31" s="515"/>
      <c r="E31" s="515"/>
      <c r="F31" s="515"/>
      <c r="G31" s="515"/>
      <c r="H31" s="534"/>
      <c r="I31" s="634"/>
      <c r="J31" s="635"/>
      <c r="K31" s="635"/>
      <c r="L31" s="635"/>
      <c r="M31" s="635"/>
      <c r="N31" s="635"/>
      <c r="O31" s="635"/>
      <c r="P31" s="635"/>
      <c r="Q31" s="635"/>
      <c r="R31" s="635"/>
      <c r="S31" s="635"/>
      <c r="T31" s="635"/>
      <c r="U31" s="635"/>
      <c r="V31" s="635"/>
      <c r="W31" s="635"/>
      <c r="X31" s="635"/>
      <c r="Y31" s="635"/>
      <c r="Z31" s="635"/>
      <c r="AA31" s="635"/>
      <c r="AB31" s="635"/>
      <c r="AC31" s="635"/>
      <c r="AD31" s="635"/>
      <c r="AE31" s="636"/>
      <c r="AH31" s="2" t="s">
        <v>765</v>
      </c>
    </row>
    <row r="32" spans="1:34" ht="24" customHeight="1">
      <c r="A32" s="740"/>
      <c r="B32" s="741"/>
      <c r="C32" s="77" t="s">
        <v>764</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73"/>
      <c r="AH32" s="2" t="s">
        <v>219</v>
      </c>
    </row>
    <row r="33" spans="1:34" ht="18.75" customHeight="1">
      <c r="A33" s="742"/>
      <c r="B33" s="741"/>
      <c r="C33" s="721" t="s">
        <v>45</v>
      </c>
      <c r="D33" s="713"/>
      <c r="E33" s="713"/>
      <c r="F33" s="714"/>
      <c r="G33" s="565" t="s">
        <v>242</v>
      </c>
      <c r="H33" s="566"/>
      <c r="I33" s="566"/>
      <c r="J33" s="567"/>
      <c r="K33" s="766"/>
      <c r="L33" s="767"/>
      <c r="M33" s="767"/>
      <c r="N33" s="767"/>
      <c r="O33" s="767"/>
      <c r="P33" s="767"/>
      <c r="Q33" s="767"/>
      <c r="R33" s="767"/>
      <c r="S33" s="767"/>
      <c r="T33" s="767"/>
      <c r="U33" s="767"/>
      <c r="V33" s="767"/>
      <c r="W33" s="767"/>
      <c r="X33" s="767"/>
      <c r="Y33" s="767"/>
      <c r="Z33" s="767"/>
      <c r="AA33" s="767"/>
      <c r="AB33" s="767"/>
      <c r="AC33" s="767"/>
      <c r="AD33" s="767"/>
      <c r="AE33" s="768"/>
      <c r="AH33" s="2" t="s">
        <v>763</v>
      </c>
    </row>
    <row r="34" spans="1:34" ht="13.5" customHeight="1">
      <c r="A34" s="742"/>
      <c r="B34" s="743"/>
      <c r="C34" s="761"/>
      <c r="D34" s="560"/>
      <c r="E34" s="560"/>
      <c r="F34" s="561"/>
      <c r="G34" s="565" t="s">
        <v>671</v>
      </c>
      <c r="H34" s="566"/>
      <c r="I34" s="566"/>
      <c r="J34" s="567"/>
      <c r="K34" s="762" t="s">
        <v>672</v>
      </c>
      <c r="L34" s="762"/>
      <c r="M34" s="762"/>
      <c r="N34" s="762"/>
      <c r="O34" s="762"/>
      <c r="P34" s="762"/>
      <c r="Q34" s="762"/>
      <c r="R34" s="762"/>
      <c r="S34" s="762"/>
      <c r="T34" s="762"/>
      <c r="U34" s="762"/>
      <c r="V34" s="762"/>
      <c r="W34" s="762"/>
      <c r="X34" s="762"/>
      <c r="Y34" s="762"/>
      <c r="Z34" s="762"/>
      <c r="AA34" s="762"/>
      <c r="AB34" s="762"/>
      <c r="AC34" s="762"/>
      <c r="AD34" s="762"/>
      <c r="AE34" s="763"/>
    </row>
    <row r="35" spans="1:34" ht="30" customHeight="1">
      <c r="A35" s="742"/>
      <c r="B35" s="743"/>
      <c r="C35" s="584"/>
      <c r="D35" s="563"/>
      <c r="E35" s="563"/>
      <c r="F35" s="564"/>
      <c r="G35" s="570"/>
      <c r="H35" s="571"/>
      <c r="I35" s="571"/>
      <c r="J35" s="572"/>
      <c r="K35" s="764"/>
      <c r="L35" s="764"/>
      <c r="M35" s="764"/>
      <c r="N35" s="764"/>
      <c r="O35" s="764"/>
      <c r="P35" s="764"/>
      <c r="Q35" s="764"/>
      <c r="R35" s="764"/>
      <c r="S35" s="764"/>
      <c r="T35" s="764"/>
      <c r="U35" s="764"/>
      <c r="V35" s="764"/>
      <c r="W35" s="764"/>
      <c r="X35" s="764"/>
      <c r="Y35" s="764"/>
      <c r="Z35" s="764"/>
      <c r="AA35" s="764"/>
      <c r="AB35" s="764"/>
      <c r="AC35" s="764"/>
      <c r="AD35" s="764"/>
      <c r="AE35" s="765"/>
    </row>
    <row r="36" spans="1:34" ht="28.5" customHeight="1">
      <c r="A36" s="742"/>
      <c r="B36" s="743"/>
      <c r="C36" s="576" t="s">
        <v>543</v>
      </c>
      <c r="D36" s="515"/>
      <c r="E36" s="515"/>
      <c r="F36" s="534"/>
      <c r="G36" s="634"/>
      <c r="H36" s="635"/>
      <c r="I36" s="635"/>
      <c r="J36" s="635"/>
      <c r="K36" s="635"/>
      <c r="L36" s="635"/>
      <c r="M36" s="635"/>
      <c r="N36" s="635"/>
      <c r="O36" s="635"/>
      <c r="P36" s="760"/>
      <c r="Q36" s="502" t="s">
        <v>12</v>
      </c>
      <c r="R36" s="538"/>
      <c r="S36" s="538"/>
      <c r="T36" s="539"/>
      <c r="U36" s="634"/>
      <c r="V36" s="635"/>
      <c r="W36" s="635"/>
      <c r="X36" s="635"/>
      <c r="Y36" s="635"/>
      <c r="Z36" s="635"/>
      <c r="AA36" s="635"/>
      <c r="AB36" s="635"/>
      <c r="AC36" s="635"/>
      <c r="AD36" s="635"/>
      <c r="AE36" s="636"/>
    </row>
    <row r="37" spans="1:34" ht="28.5" customHeight="1">
      <c r="A37" s="742"/>
      <c r="B37" s="741"/>
      <c r="C37" s="584" t="s">
        <v>222</v>
      </c>
      <c r="D37" s="753"/>
      <c r="E37" s="753"/>
      <c r="F37" s="585"/>
      <c r="G37" s="516"/>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8"/>
    </row>
    <row r="38" spans="1:34">
      <c r="A38" s="78"/>
      <c r="B38" s="91"/>
      <c r="C38" s="72"/>
      <c r="D38" s="72"/>
      <c r="E38" s="72"/>
      <c r="F38" s="72"/>
      <c r="G38" s="72"/>
      <c r="H38" s="72"/>
      <c r="I38" s="79"/>
      <c r="J38" s="79"/>
      <c r="K38" s="79"/>
      <c r="L38" s="79"/>
      <c r="M38" s="79"/>
      <c r="N38" s="79"/>
      <c r="O38" s="79"/>
      <c r="P38" s="79"/>
      <c r="Q38" s="79"/>
      <c r="R38" s="79"/>
      <c r="S38" s="79"/>
      <c r="T38" s="80"/>
      <c r="U38" s="79"/>
      <c r="V38" s="79"/>
      <c r="W38" s="79"/>
      <c r="X38" s="79"/>
      <c r="Y38" s="79"/>
      <c r="Z38" s="79"/>
      <c r="AA38" s="79"/>
      <c r="AB38" s="79"/>
      <c r="AC38" s="79"/>
      <c r="AD38" s="79"/>
      <c r="AE38" s="81"/>
    </row>
    <row r="39" spans="1:34">
      <c r="A39" s="76"/>
      <c r="B39" s="156" t="s">
        <v>5</v>
      </c>
      <c r="C39" s="156"/>
      <c r="D39" s="156" t="s">
        <v>565</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73"/>
    </row>
    <row r="40" spans="1:34" ht="14.25" thickBot="1">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4"/>
    </row>
  </sheetData>
  <sheetProtection selectLockedCells="1"/>
  <mergeCells count="44">
    <mergeCell ref="D12:AE12"/>
    <mergeCell ref="U10:AE10"/>
    <mergeCell ref="K7:AE7"/>
    <mergeCell ref="C8:F8"/>
    <mergeCell ref="C9:F9"/>
    <mergeCell ref="C10:D10"/>
    <mergeCell ref="A2:AE3"/>
    <mergeCell ref="A4:B10"/>
    <mergeCell ref="C5:F7"/>
    <mergeCell ref="G9:AE9"/>
    <mergeCell ref="C4:I4"/>
    <mergeCell ref="J5:AE5"/>
    <mergeCell ref="G5:I5"/>
    <mergeCell ref="G7:J7"/>
    <mergeCell ref="G6:J6"/>
    <mergeCell ref="K6:AE6"/>
    <mergeCell ref="Q8:T8"/>
    <mergeCell ref="U8:AE8"/>
    <mergeCell ref="G8:P8"/>
    <mergeCell ref="J4:AE4"/>
    <mergeCell ref="Q10:T10"/>
    <mergeCell ref="E10:P10"/>
    <mergeCell ref="G34:J34"/>
    <mergeCell ref="K34:AE34"/>
    <mergeCell ref="G35:J35"/>
    <mergeCell ref="K35:AE35"/>
    <mergeCell ref="G33:J33"/>
    <mergeCell ref="K33:AE33"/>
    <mergeCell ref="A18:AE19"/>
    <mergeCell ref="A20:AE21"/>
    <mergeCell ref="A31:B37"/>
    <mergeCell ref="D13:AE13"/>
    <mergeCell ref="I31:AE31"/>
    <mergeCell ref="A22:I22"/>
    <mergeCell ref="J22:AE22"/>
    <mergeCell ref="G37:AE37"/>
    <mergeCell ref="C31:H31"/>
    <mergeCell ref="C37:F37"/>
    <mergeCell ref="A29:AE30"/>
    <mergeCell ref="G36:P36"/>
    <mergeCell ref="Q36:T36"/>
    <mergeCell ref="U36:AE36"/>
    <mergeCell ref="C36:F36"/>
    <mergeCell ref="C33:F35"/>
  </mergeCells>
  <phoneticPr fontId="2"/>
  <conditionalFormatting sqref="E23:L27">
    <cfRule type="expression" dxfId="245" priority="54" stopIfTrue="1">
      <formula>C23=2</formula>
    </cfRule>
    <cfRule type="expression" dxfId="244" priority="55" stopIfTrue="1">
      <formula>C23=1</formula>
    </cfRule>
  </conditionalFormatting>
  <conditionalFormatting sqref="S23:Z27">
    <cfRule type="expression" dxfId="243" priority="56" stopIfTrue="1">
      <formula>C23=2</formula>
    </cfRule>
    <cfRule type="expression" dxfId="242" priority="57" stopIfTrue="1">
      <formula>C23=1</formula>
    </cfRule>
  </conditionalFormatting>
  <conditionalFormatting sqref="K33 K35 U36 G36:G37">
    <cfRule type="cellIs" dxfId="241" priority="43" operator="notEqual">
      <formula>""</formula>
    </cfRule>
  </conditionalFormatting>
  <conditionalFormatting sqref="G37:AE37">
    <cfRule type="cellIs" dxfId="240" priority="42" stopIfTrue="1" operator="notEqual">
      <formula>""</formula>
    </cfRule>
  </conditionalFormatting>
  <conditionalFormatting sqref="J22">
    <cfRule type="expression" dxfId="239" priority="39">
      <formula>J22&lt;&gt;""</formula>
    </cfRule>
  </conditionalFormatting>
  <conditionalFormatting sqref="K35:AE35">
    <cfRule type="expression" dxfId="238" priority="37">
      <formula>K35&lt;&gt;""</formula>
    </cfRule>
  </conditionalFormatting>
  <conditionalFormatting sqref="G36:P36">
    <cfRule type="expression" dxfId="237" priority="36">
      <formula>G36&lt;&gt;""</formula>
    </cfRule>
  </conditionalFormatting>
  <conditionalFormatting sqref="U36:AE36">
    <cfRule type="expression" dxfId="236" priority="35">
      <formula>U36&lt;&gt;""</formula>
    </cfRule>
  </conditionalFormatting>
  <conditionalFormatting sqref="C38:H38">
    <cfRule type="expression" dxfId="235" priority="135" stopIfTrue="1">
      <formula>#REF!=1</formula>
    </cfRule>
    <cfRule type="expression" dxfId="234" priority="136" stopIfTrue="1">
      <formula>#REF!=2</formula>
    </cfRule>
  </conditionalFormatting>
  <conditionalFormatting sqref="I31:AE31">
    <cfRule type="expression" dxfId="233" priority="14">
      <formula>I31&lt;&gt;""</formula>
    </cfRule>
  </conditionalFormatting>
  <conditionalFormatting sqref="J4:AE4">
    <cfRule type="expression" dxfId="232" priority="11">
      <formula>J4&lt;&gt;""</formula>
    </cfRule>
  </conditionalFormatting>
  <conditionalFormatting sqref="J5:AE5">
    <cfRule type="expression" dxfId="231" priority="10">
      <formula>J5&lt;&gt;""</formula>
    </cfRule>
  </conditionalFormatting>
  <conditionalFormatting sqref="K7:AE7">
    <cfRule type="expression" dxfId="230" priority="8">
      <formula>K7&lt;&gt;""</formula>
    </cfRule>
  </conditionalFormatting>
  <conditionalFormatting sqref="U8:AE8">
    <cfRule type="expression" dxfId="229" priority="7">
      <formula>U8&lt;&gt;""</formula>
    </cfRule>
  </conditionalFormatting>
  <conditionalFormatting sqref="G8:P8">
    <cfRule type="expression" dxfId="228" priority="6">
      <formula>G8&lt;&gt;""</formula>
    </cfRule>
  </conditionalFormatting>
  <conditionalFormatting sqref="G9:AE9">
    <cfRule type="expression" dxfId="227" priority="5">
      <formula>G9&lt;&gt;""</formula>
    </cfRule>
  </conditionalFormatting>
  <conditionalFormatting sqref="E10:P10">
    <cfRule type="expression" dxfId="226" priority="4">
      <formula>E10&lt;&gt;""</formula>
    </cfRule>
  </conditionalFormatting>
  <conditionalFormatting sqref="U10:AE10">
    <cfRule type="expression" dxfId="225" priority="3">
      <formula>U10&lt;&gt;""</formula>
    </cfRule>
  </conditionalFormatting>
  <conditionalFormatting sqref="G7">
    <cfRule type="cellIs" dxfId="224" priority="2" stopIfTrue="1" operator="notEqual">
      <formula>""</formula>
    </cfRule>
  </conditionalFormatting>
  <conditionalFormatting sqref="G35">
    <cfRule type="cellIs" dxfId="223" priority="1" stopIfTrue="1" operator="notEqual">
      <formula>""</formula>
    </cfRule>
  </conditionalFormatting>
  <dataValidations xWindow="36" yWindow="271" count="10">
    <dataValidation imeMode="off" allowBlank="1" showInputMessage="1" showErrorMessage="1" prompt="ファクシミリ番号を入力してください。" sqref="J11:R11" xr:uid="{00000000-0002-0000-0300-000000000000}"/>
    <dataValidation type="custom" imeMode="on" allowBlank="1" showInputMessage="1" showErrorMessage="1" error="すべて全角で入力してください。" sqref="G37:AE37 G9:AE9 K35:AE35" xr:uid="{00000000-0002-0000-0300-000001000000}">
      <formula1>G9=DBCS(G9)</formula1>
    </dataValidation>
    <dataValidation type="textLength" imeMode="disabled" operator="equal" allowBlank="1" showInputMessage="1" showErrorMessage="1" error="以下を確認してください。_x000a_・郵便番号は７桁です。_x000a_・ハイフンで区切ってください。" sqref="K33:AE33 J5:AE5" xr:uid="{00000000-0002-0000-0300-000003000000}">
      <formula1>8</formula1>
    </dataValidation>
    <dataValidation type="list" allowBlank="1" showInputMessage="1" showErrorMessage="1" sqref="I31:AE31" xr:uid="{00000000-0002-0000-0300-000004000000}">
      <formula1>$AH$31:$AH$33</formula1>
    </dataValidation>
    <dataValidation type="list" allowBlank="1" showInputMessage="1" showErrorMessage="1" sqref="J4:AE4" xr:uid="{00000000-0002-0000-0300-000005000000}">
      <formula1>"代理人を置く,代理人を置かない"</formula1>
    </dataValidation>
    <dataValidation type="list" allowBlank="1" showErrorMessage="1" prompt="右のボタンから「登録する」か「登録しない」か選択してください。" sqref="J22" xr:uid="{00000000-0002-0000-0300-000006000000}">
      <formula1>INDIRECT(J4)</formula1>
    </dataValidation>
    <dataValidation type="custom" imeMode="on" allowBlank="1" showInputMessage="1" showErrorMessage="1" error="すべて全角で入力してください。" sqref="K7:AE7" xr:uid="{00000000-0002-0000-0300-000007000000}">
      <formula1>AND(K7=DBCS(K7))</formula1>
    </dataValidation>
    <dataValidation type="custom" imeMode="on" allowBlank="1" showInputMessage="1" showErrorMessage="1" error="・全角で入力してください。" sqref="E10:P10 U10:AE10" xr:uid="{00000000-0002-0000-0300-000009000000}">
      <formula1>E10=DBCS(E10)</formula1>
    </dataValidation>
    <dataValidation imeMode="disabled" allowBlank="1" showInputMessage="1" showErrorMessage="1" sqref="U8:AE8 G36:P36 U36:AE36 G8:P8" xr:uid="{15DC6CB0-32D8-4FE9-8B8F-CB28AAE1D5E0}"/>
    <dataValidation type="textLength" imeMode="on" operator="greaterThanOrEqual" allowBlank="1" showInputMessage="1" showErrorMessage="1" error="「都」「道」「府」「県」まで記入してください。_x000a_【良い例】新潟県_x000a_【悪い例】新潟" sqref="G7:J7 G35:J35" xr:uid="{B54ECE7A-812A-4236-B110-4D73200EABF6}">
      <formula1>3</formula1>
    </dataValidation>
  </dataValidations>
  <pageMargins left="0.78740157480314965" right="0.39370078740157483" top="0.78740157480314965" bottom="0.78740157480314965" header="0.51181102362204722" footer="0.51181102362204722"/>
  <pageSetup paperSize="9" fitToWidth="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84"/>
  <sheetViews>
    <sheetView showGridLines="0" view="pageBreakPreview" topLeftCell="A142" zoomScaleNormal="100" zoomScaleSheetLayoutView="100" workbookViewId="0">
      <selection activeCell="A10" sqref="A6:AC14"/>
    </sheetView>
  </sheetViews>
  <sheetFormatPr defaultColWidth="9" defaultRowHeight="13.5"/>
  <cols>
    <col min="1" max="1" width="2.75" style="255" customWidth="1"/>
    <col min="2" max="2" width="13.875" style="273" customWidth="1"/>
    <col min="3" max="3" width="2.875" style="187" customWidth="1"/>
    <col min="4" max="4" width="16.875" style="273" customWidth="1"/>
    <col min="5" max="5" width="2.75" style="187" customWidth="1"/>
    <col min="6" max="6" width="2.875" style="255" customWidth="1"/>
    <col min="7" max="7" width="16.125" style="273" customWidth="1"/>
    <col min="8" max="8" width="1.375" style="187" customWidth="1"/>
    <col min="9" max="9" width="2.875" style="187" customWidth="1"/>
    <col min="10" max="10" width="3" style="224" customWidth="1"/>
    <col min="11" max="11" width="16.125" style="274" customWidth="1"/>
    <col min="12" max="12" width="1.375" style="275" customWidth="1"/>
    <col min="13" max="13" width="2.875" style="275" customWidth="1"/>
    <col min="14" max="14" width="3" style="224" customWidth="1"/>
    <col min="15" max="15" width="16.125" style="274" customWidth="1"/>
    <col min="16" max="16" width="1.25" style="275" customWidth="1"/>
    <col min="17" max="17" width="1.25" style="273" customWidth="1"/>
    <col min="18" max="19" width="6.625" style="255" customWidth="1"/>
    <col min="20" max="20" width="7.25" style="307" customWidth="1"/>
    <col min="21" max="22" width="7.25" style="300" customWidth="1"/>
    <col min="23" max="23" width="0" style="219" hidden="1" customWidth="1"/>
    <col min="24" max="16384" width="9" style="187"/>
  </cols>
  <sheetData>
    <row r="1" spans="1:23">
      <c r="A1" s="176" t="s">
        <v>248</v>
      </c>
      <c r="B1" s="177"/>
      <c r="C1" s="178" t="s">
        <v>255</v>
      </c>
      <c r="D1" s="177"/>
      <c r="E1" s="179"/>
      <c r="F1" s="180"/>
      <c r="G1" s="181"/>
      <c r="H1" s="179"/>
      <c r="I1" s="179"/>
      <c r="J1" s="182"/>
      <c r="K1" s="183"/>
      <c r="L1" s="184"/>
      <c r="M1" s="184"/>
      <c r="N1" s="182"/>
      <c r="O1" s="183"/>
      <c r="P1" s="184"/>
      <c r="Q1" s="185"/>
      <c r="R1" s="186"/>
      <c r="S1" s="187"/>
      <c r="T1" s="300"/>
      <c r="W1" s="188" t="s">
        <v>766</v>
      </c>
    </row>
    <row r="2" spans="1:23" ht="24.75" customHeight="1" thickBot="1">
      <c r="A2" s="189" t="s">
        <v>604</v>
      </c>
      <c r="B2" s="190" t="s">
        <v>49</v>
      </c>
      <c r="C2" s="191" t="s">
        <v>604</v>
      </c>
      <c r="D2" s="192" t="s">
        <v>49</v>
      </c>
      <c r="E2" s="193" t="s">
        <v>56</v>
      </c>
      <c r="F2" s="194"/>
      <c r="G2" s="195"/>
      <c r="H2" s="196"/>
      <c r="I2" s="196"/>
      <c r="J2" s="197"/>
      <c r="K2" s="198"/>
      <c r="L2" s="199"/>
      <c r="M2" s="199"/>
      <c r="N2" s="197"/>
      <c r="O2" s="198"/>
      <c r="P2" s="199"/>
      <c r="Q2" s="200"/>
      <c r="R2" s="201"/>
      <c r="S2" s="202"/>
      <c r="T2" s="294" t="s">
        <v>737</v>
      </c>
      <c r="W2" s="188" t="s">
        <v>767</v>
      </c>
    </row>
    <row r="3" spans="1:23" ht="18.75" customHeight="1">
      <c r="A3" s="203">
        <v>1</v>
      </c>
      <c r="B3" s="775" t="s">
        <v>249</v>
      </c>
      <c r="C3" s="204">
        <v>1</v>
      </c>
      <c r="D3" s="205" t="s">
        <v>256</v>
      </c>
      <c r="E3" s="85" t="s">
        <v>768</v>
      </c>
      <c r="F3" s="207">
        <v>1</v>
      </c>
      <c r="G3" s="208" t="s">
        <v>257</v>
      </c>
      <c r="H3" s="202"/>
      <c r="I3" s="104" t="s">
        <v>768</v>
      </c>
      <c r="J3" s="209">
        <v>2</v>
      </c>
      <c r="K3" s="210" t="s">
        <v>258</v>
      </c>
      <c r="L3" s="211"/>
      <c r="M3" s="104" t="s">
        <v>768</v>
      </c>
      <c r="N3" s="209">
        <v>3</v>
      </c>
      <c r="O3" s="210" t="s">
        <v>605</v>
      </c>
      <c r="P3" s="211"/>
      <c r="Q3" s="212"/>
      <c r="R3" s="774"/>
      <c r="S3" s="213"/>
      <c r="T3" s="301" t="str">
        <f>IF(E3="■","010101","")</f>
        <v/>
      </c>
      <c r="U3" s="302" t="str">
        <f>IF(I3="■","010102","")</f>
        <v/>
      </c>
      <c r="V3" s="322" t="str">
        <f>IF(M3="■","010103","")</f>
        <v/>
      </c>
      <c r="W3" s="214"/>
    </row>
    <row r="4" spans="1:23">
      <c r="A4" s="215"/>
      <c r="B4" s="775"/>
      <c r="C4" s="216"/>
      <c r="D4" s="205"/>
      <c r="E4" s="85" t="s">
        <v>768</v>
      </c>
      <c r="F4" s="217">
        <v>4</v>
      </c>
      <c r="G4" s="208" t="s">
        <v>259</v>
      </c>
      <c r="H4" s="202"/>
      <c r="I4" s="86" t="s">
        <v>768</v>
      </c>
      <c r="J4" s="209">
        <v>5</v>
      </c>
      <c r="K4" s="210" t="s">
        <v>260</v>
      </c>
      <c r="L4" s="211"/>
      <c r="M4" s="218"/>
      <c r="N4" s="209"/>
      <c r="O4" s="210"/>
      <c r="P4" s="211"/>
      <c r="Q4" s="212"/>
      <c r="R4" s="774"/>
      <c r="S4" s="217"/>
      <c r="T4" s="303" t="str">
        <f>IF(E4="■","010104","")</f>
        <v/>
      </c>
      <c r="U4" s="304" t="str">
        <f>IF(I4="■","010105","")</f>
        <v/>
      </c>
      <c r="V4" s="323"/>
    </row>
    <row r="5" spans="1:23">
      <c r="A5" s="220"/>
      <c r="B5" s="221"/>
      <c r="C5" s="216"/>
      <c r="D5" s="222"/>
      <c r="E5" s="87"/>
      <c r="F5" s="217"/>
      <c r="G5" s="208"/>
      <c r="H5" s="202"/>
      <c r="I5" s="223"/>
      <c r="K5" s="210"/>
      <c r="L5" s="211"/>
      <c r="M5" s="225"/>
      <c r="N5" s="209"/>
      <c r="O5" s="210"/>
      <c r="P5" s="211"/>
      <c r="Q5" s="212"/>
      <c r="R5" s="774"/>
      <c r="S5" s="217"/>
      <c r="T5" s="303"/>
      <c r="U5" s="304"/>
      <c r="V5" s="323"/>
    </row>
    <row r="6" spans="1:23">
      <c r="A6" s="220"/>
      <c r="B6" s="221"/>
      <c r="C6" s="226"/>
      <c r="D6" s="227"/>
      <c r="E6" s="105" t="s">
        <v>768</v>
      </c>
      <c r="F6" s="228">
        <v>99</v>
      </c>
      <c r="G6" s="229" t="s">
        <v>57</v>
      </c>
      <c r="H6" s="230"/>
      <c r="I6" s="231" t="s">
        <v>50</v>
      </c>
      <c r="J6" s="778"/>
      <c r="K6" s="778"/>
      <c r="L6" s="778"/>
      <c r="M6" s="778"/>
      <c r="N6" s="778"/>
      <c r="O6" s="778"/>
      <c r="P6" s="778"/>
      <c r="Q6" s="232" t="s">
        <v>51</v>
      </c>
      <c r="R6" s="233" t="str">
        <f>IF(E6="■","←必須","")</f>
        <v/>
      </c>
      <c r="S6" s="776"/>
      <c r="T6" s="305" t="str">
        <f>IF(E6="■","010199","")</f>
        <v/>
      </c>
      <c r="U6" s="306"/>
      <c r="V6" s="324"/>
    </row>
    <row r="7" spans="1:23">
      <c r="A7" s="220"/>
      <c r="B7" s="234"/>
      <c r="C7" s="235">
        <v>2</v>
      </c>
      <c r="D7" s="236" t="s">
        <v>261</v>
      </c>
      <c r="E7" s="85" t="s">
        <v>768</v>
      </c>
      <c r="F7" s="237">
        <v>1</v>
      </c>
      <c r="G7" s="238" t="s">
        <v>644</v>
      </c>
      <c r="H7" s="239"/>
      <c r="I7" s="106" t="s">
        <v>768</v>
      </c>
      <c r="J7" s="240">
        <v>2</v>
      </c>
      <c r="K7" s="241" t="s">
        <v>262</v>
      </c>
      <c r="L7" s="242"/>
      <c r="M7" s="106" t="s">
        <v>768</v>
      </c>
      <c r="N7" s="240">
        <v>3</v>
      </c>
      <c r="O7" s="243" t="s">
        <v>606</v>
      </c>
      <c r="P7" s="242"/>
      <c r="Q7" s="244"/>
      <c r="R7" s="777"/>
      <c r="S7" s="776"/>
      <c r="T7" s="301" t="str">
        <f>IF(E7="■","010201","")</f>
        <v/>
      </c>
      <c r="U7" s="302" t="str">
        <f>IF(I7="■","010202","")</f>
        <v/>
      </c>
      <c r="V7" s="322" t="str">
        <f>IF(M7="■","010203","")</f>
        <v/>
      </c>
      <c r="W7" s="188"/>
    </row>
    <row r="8" spans="1:23">
      <c r="A8" s="220"/>
      <c r="B8" s="234"/>
      <c r="C8" s="216"/>
      <c r="D8" s="205"/>
      <c r="E8" s="85" t="s">
        <v>768</v>
      </c>
      <c r="F8" s="217">
        <v>4</v>
      </c>
      <c r="G8" s="245" t="s">
        <v>607</v>
      </c>
      <c r="H8" s="202"/>
      <c r="I8" s="86" t="s">
        <v>768</v>
      </c>
      <c r="J8" s="209">
        <v>5</v>
      </c>
      <c r="K8" s="210" t="s">
        <v>263</v>
      </c>
      <c r="L8" s="211"/>
      <c r="M8" s="86" t="s">
        <v>768</v>
      </c>
      <c r="N8" s="209">
        <v>6</v>
      </c>
      <c r="O8" s="210" t="s">
        <v>608</v>
      </c>
      <c r="P8" s="211"/>
      <c r="Q8" s="212"/>
      <c r="R8" s="777"/>
      <c r="S8" s="217"/>
      <c r="T8" s="303" t="str">
        <f>IF(E8="■","010204","")</f>
        <v/>
      </c>
      <c r="U8" s="304" t="str">
        <f>IF(I8="■","010205","")</f>
        <v/>
      </c>
      <c r="V8" s="323" t="str">
        <f>IF(M8="■","010206","")</f>
        <v/>
      </c>
    </row>
    <row r="9" spans="1:23">
      <c r="A9" s="220"/>
      <c r="B9" s="221"/>
      <c r="C9" s="216"/>
      <c r="D9" s="222"/>
      <c r="E9" s="85" t="s">
        <v>768</v>
      </c>
      <c r="F9" s="217">
        <v>7</v>
      </c>
      <c r="G9" s="208" t="s">
        <v>540</v>
      </c>
      <c r="H9" s="202"/>
      <c r="I9" s="86" t="s">
        <v>768</v>
      </c>
      <c r="J9" s="209">
        <v>8</v>
      </c>
      <c r="K9" s="210" t="s">
        <v>264</v>
      </c>
      <c r="L9" s="211"/>
      <c r="M9" s="86" t="s">
        <v>768</v>
      </c>
      <c r="N9" s="209">
        <v>9</v>
      </c>
      <c r="O9" s="210" t="s">
        <v>265</v>
      </c>
      <c r="P9" s="211"/>
      <c r="Q9" s="212"/>
      <c r="R9" s="777"/>
      <c r="S9" s="217"/>
      <c r="T9" s="303" t="str">
        <f>IF(E9="■","010207","")</f>
        <v/>
      </c>
      <c r="U9" s="304" t="str">
        <f>IF(I9="■","010208","")</f>
        <v/>
      </c>
      <c r="V9" s="323" t="str">
        <f>IF(M9="■","010209","")</f>
        <v/>
      </c>
    </row>
    <row r="10" spans="1:23">
      <c r="A10" s="220"/>
      <c r="B10" s="221"/>
      <c r="C10" s="216"/>
      <c r="D10" s="222"/>
      <c r="E10" s="85" t="s">
        <v>768</v>
      </c>
      <c r="F10" s="217">
        <v>10</v>
      </c>
      <c r="G10" s="246" t="s">
        <v>645</v>
      </c>
      <c r="H10" s="202"/>
      <c r="I10" s="247"/>
      <c r="J10" s="209"/>
      <c r="K10" s="210"/>
      <c r="L10" s="211"/>
      <c r="M10" s="225"/>
      <c r="N10" s="209"/>
      <c r="O10" s="210"/>
      <c r="P10" s="211"/>
      <c r="Q10" s="212"/>
      <c r="R10" s="777"/>
      <c r="S10" s="217"/>
      <c r="T10" s="303" t="str">
        <f>IF(E10="■","010210","")</f>
        <v/>
      </c>
      <c r="U10" s="304"/>
      <c r="V10" s="323"/>
    </row>
    <row r="11" spans="1:23">
      <c r="A11" s="248"/>
      <c r="B11" s="249"/>
      <c r="C11" s="226"/>
      <c r="D11" s="227"/>
      <c r="E11" s="105" t="s">
        <v>768</v>
      </c>
      <c r="F11" s="228">
        <v>99</v>
      </c>
      <c r="G11" s="250" t="s">
        <v>266</v>
      </c>
      <c r="H11" s="230"/>
      <c r="I11" s="231" t="s">
        <v>50</v>
      </c>
      <c r="J11" s="778"/>
      <c r="K11" s="778"/>
      <c r="L11" s="778"/>
      <c r="M11" s="778"/>
      <c r="N11" s="778"/>
      <c r="O11" s="778"/>
      <c r="P11" s="778"/>
      <c r="Q11" s="232" t="s">
        <v>51</v>
      </c>
      <c r="R11" s="233" t="str">
        <f>IF(E11="■","←必須","")</f>
        <v/>
      </c>
      <c r="S11" s="251"/>
      <c r="T11" s="305" t="str">
        <f>IF(E11="■","010299","")</f>
        <v/>
      </c>
      <c r="U11" s="306"/>
      <c r="V11" s="324"/>
    </row>
    <row r="12" spans="1:23">
      <c r="A12" s="252">
        <v>2</v>
      </c>
      <c r="B12" s="253" t="s">
        <v>267</v>
      </c>
      <c r="C12" s="235">
        <v>1</v>
      </c>
      <c r="D12" s="236" t="s">
        <v>268</v>
      </c>
      <c r="E12" s="85" t="s">
        <v>768</v>
      </c>
      <c r="F12" s="237">
        <v>1</v>
      </c>
      <c r="G12" s="254" t="s">
        <v>269</v>
      </c>
      <c r="H12" s="239"/>
      <c r="I12" s="106" t="s">
        <v>768</v>
      </c>
      <c r="J12" s="240">
        <v>2</v>
      </c>
      <c r="K12" s="241" t="s">
        <v>270</v>
      </c>
      <c r="L12" s="242"/>
      <c r="M12" s="106" t="s">
        <v>768</v>
      </c>
      <c r="N12" s="240">
        <v>3</v>
      </c>
      <c r="O12" s="241" t="s">
        <v>271</v>
      </c>
      <c r="P12" s="242"/>
      <c r="Q12" s="244"/>
      <c r="R12" s="774"/>
      <c r="S12" s="251"/>
      <c r="T12" s="303" t="str">
        <f>IF(E12="■","020101","")</f>
        <v/>
      </c>
      <c r="U12" s="304" t="str">
        <f>IF(I12="■","020102","")</f>
        <v/>
      </c>
      <c r="V12" s="323" t="str">
        <f>IF(M12="■","020103","")</f>
        <v/>
      </c>
    </row>
    <row r="13" spans="1:23">
      <c r="A13" s="220"/>
      <c r="B13" s="234"/>
      <c r="C13" s="216"/>
      <c r="D13" s="205"/>
      <c r="E13" s="85" t="s">
        <v>768</v>
      </c>
      <c r="F13" s="217">
        <v>4</v>
      </c>
      <c r="G13" s="208" t="s">
        <v>272</v>
      </c>
      <c r="H13" s="202"/>
      <c r="I13" s="86" t="s">
        <v>768</v>
      </c>
      <c r="J13" s="209">
        <v>5</v>
      </c>
      <c r="K13" s="210" t="s">
        <v>273</v>
      </c>
      <c r="L13" s="211"/>
      <c r="M13" s="86" t="s">
        <v>768</v>
      </c>
      <c r="N13" s="209">
        <v>6</v>
      </c>
      <c r="O13" s="210" t="s">
        <v>274</v>
      </c>
      <c r="P13" s="211"/>
      <c r="Q13" s="212"/>
      <c r="R13" s="774"/>
      <c r="T13" s="303" t="str">
        <f>IF(E13="■","020104","")</f>
        <v/>
      </c>
      <c r="U13" s="304" t="str">
        <f>IF(I13="■","020105","")</f>
        <v/>
      </c>
      <c r="V13" s="323" t="str">
        <f>IF(M13="■","020106","")</f>
        <v/>
      </c>
    </row>
    <row r="14" spans="1:23">
      <c r="A14" s="220"/>
      <c r="B14" s="221"/>
      <c r="C14" s="216"/>
      <c r="D14" s="222"/>
      <c r="E14" s="85" t="s">
        <v>768</v>
      </c>
      <c r="F14" s="217">
        <v>7</v>
      </c>
      <c r="G14" s="208" t="s">
        <v>609</v>
      </c>
      <c r="H14" s="202"/>
      <c r="I14" s="86" t="s">
        <v>768</v>
      </c>
      <c r="J14" s="209">
        <v>8</v>
      </c>
      <c r="K14" s="210" t="s">
        <v>275</v>
      </c>
      <c r="L14" s="211"/>
      <c r="M14" s="86" t="s">
        <v>768</v>
      </c>
      <c r="N14" s="209">
        <v>9</v>
      </c>
      <c r="O14" s="256" t="s">
        <v>643</v>
      </c>
      <c r="P14" s="211"/>
      <c r="Q14" s="212"/>
      <c r="R14" s="774"/>
      <c r="T14" s="303" t="str">
        <f>IF(E14="■","020107","")</f>
        <v/>
      </c>
      <c r="U14" s="304" t="str">
        <f>IF(I14="■","020108","")</f>
        <v/>
      </c>
      <c r="V14" s="323" t="str">
        <f>IF(M14="■","020109","")</f>
        <v/>
      </c>
    </row>
    <row r="15" spans="1:23" ht="14.25" customHeight="1">
      <c r="A15" s="248"/>
      <c r="B15" s="249"/>
      <c r="C15" s="226"/>
      <c r="D15" s="227"/>
      <c r="E15" s="105" t="s">
        <v>768</v>
      </c>
      <c r="F15" s="228">
        <v>99</v>
      </c>
      <c r="G15" s="250" t="s">
        <v>276</v>
      </c>
      <c r="H15" s="230"/>
      <c r="I15" s="231" t="s">
        <v>50</v>
      </c>
      <c r="J15" s="778"/>
      <c r="K15" s="778"/>
      <c r="L15" s="778"/>
      <c r="M15" s="778"/>
      <c r="N15" s="778"/>
      <c r="O15" s="778"/>
      <c r="P15" s="778"/>
      <c r="Q15" s="232" t="s">
        <v>51</v>
      </c>
      <c r="R15" s="233" t="str">
        <f>IF(E15="■","←必須","")</f>
        <v/>
      </c>
      <c r="S15" s="251"/>
      <c r="T15" s="305" t="str">
        <f>IF(E15="■","020199","")</f>
        <v/>
      </c>
      <c r="U15" s="306"/>
      <c r="V15" s="324"/>
    </row>
    <row r="16" spans="1:23">
      <c r="A16" s="252">
        <v>3</v>
      </c>
      <c r="B16" s="779" t="s">
        <v>250</v>
      </c>
      <c r="C16" s="235">
        <v>1</v>
      </c>
      <c r="D16" s="236" t="s">
        <v>277</v>
      </c>
      <c r="E16" s="85" t="s">
        <v>768</v>
      </c>
      <c r="F16" s="237">
        <v>1</v>
      </c>
      <c r="G16" s="254" t="s">
        <v>278</v>
      </c>
      <c r="H16" s="239"/>
      <c r="I16" s="106" t="s">
        <v>768</v>
      </c>
      <c r="J16" s="240">
        <v>2</v>
      </c>
      <c r="K16" s="241" t="s">
        <v>279</v>
      </c>
      <c r="L16" s="242"/>
      <c r="M16" s="106" t="s">
        <v>768</v>
      </c>
      <c r="N16" s="240">
        <v>3</v>
      </c>
      <c r="O16" s="241" t="s">
        <v>280</v>
      </c>
      <c r="P16" s="242"/>
      <c r="Q16" s="244"/>
      <c r="R16" s="774"/>
      <c r="S16" s="251"/>
      <c r="T16" s="301" t="str">
        <f>IF(E16="■","030101","")</f>
        <v/>
      </c>
      <c r="U16" s="302" t="str">
        <f>IF(I16="■","030102","")</f>
        <v/>
      </c>
      <c r="V16" s="322" t="str">
        <f>IF(M16="■","030103","")</f>
        <v/>
      </c>
    </row>
    <row r="17" spans="1:22">
      <c r="A17" s="220"/>
      <c r="B17" s="775"/>
      <c r="C17" s="216"/>
      <c r="D17" s="205"/>
      <c r="E17" s="85" t="s">
        <v>768</v>
      </c>
      <c r="F17" s="217">
        <v>4</v>
      </c>
      <c r="G17" s="245" t="s">
        <v>63</v>
      </c>
      <c r="H17" s="202"/>
      <c r="I17" s="86" t="s">
        <v>768</v>
      </c>
      <c r="J17" s="209">
        <v>5</v>
      </c>
      <c r="K17" s="257" t="s">
        <v>64</v>
      </c>
      <c r="L17" s="211"/>
      <c r="M17" s="225" t="b">
        <v>0</v>
      </c>
      <c r="N17" s="209"/>
      <c r="O17" s="210"/>
      <c r="P17" s="211"/>
      <c r="Q17" s="212"/>
      <c r="R17" s="774"/>
      <c r="T17" s="303" t="str">
        <f>IF(E17="■","030104","")</f>
        <v/>
      </c>
      <c r="U17" s="304" t="str">
        <f>IF(I17="■","030105","")</f>
        <v/>
      </c>
      <c r="V17" s="323"/>
    </row>
    <row r="18" spans="1:22">
      <c r="A18" s="220"/>
      <c r="B18" s="221"/>
      <c r="C18" s="216"/>
      <c r="D18" s="222"/>
      <c r="E18" s="206"/>
      <c r="F18" s="217"/>
      <c r="G18" s="208"/>
      <c r="H18" s="202"/>
      <c r="I18" s="247" t="b">
        <v>0</v>
      </c>
      <c r="J18" s="209"/>
      <c r="K18" s="210"/>
      <c r="L18" s="211"/>
      <c r="M18" s="225" t="b">
        <v>0</v>
      </c>
      <c r="N18" s="209"/>
      <c r="O18" s="210"/>
      <c r="P18" s="211"/>
      <c r="Q18" s="212"/>
      <c r="R18" s="774"/>
      <c r="S18" s="187"/>
      <c r="T18" s="303"/>
      <c r="U18" s="304" t="str">
        <f>IF(I18="■","030105","")</f>
        <v/>
      </c>
      <c r="V18" s="323"/>
    </row>
    <row r="19" spans="1:22" ht="15.75" customHeight="1">
      <c r="A19" s="220"/>
      <c r="B19" s="221"/>
      <c r="C19" s="226"/>
      <c r="D19" s="227"/>
      <c r="E19" s="105" t="s">
        <v>768</v>
      </c>
      <c r="F19" s="228">
        <v>99</v>
      </c>
      <c r="G19" s="250" t="s">
        <v>281</v>
      </c>
      <c r="H19" s="230"/>
      <c r="I19" s="231" t="s">
        <v>50</v>
      </c>
      <c r="J19" s="778"/>
      <c r="K19" s="778"/>
      <c r="L19" s="778"/>
      <c r="M19" s="778"/>
      <c r="N19" s="778"/>
      <c r="O19" s="778"/>
      <c r="P19" s="778"/>
      <c r="Q19" s="232" t="s">
        <v>51</v>
      </c>
      <c r="R19" s="233" t="str">
        <f>IF(E19="■","←必須","")</f>
        <v/>
      </c>
      <c r="S19" s="251"/>
      <c r="T19" s="305" t="str">
        <f>IF(E19="■","030199","")</f>
        <v/>
      </c>
      <c r="U19" s="306"/>
      <c r="V19" s="324"/>
    </row>
    <row r="20" spans="1:22" ht="14.25" customHeight="1">
      <c r="A20" s="220"/>
      <c r="B20" s="234"/>
      <c r="C20" s="235">
        <v>2</v>
      </c>
      <c r="D20" s="236" t="s">
        <v>575</v>
      </c>
      <c r="E20" s="85" t="s">
        <v>768</v>
      </c>
      <c r="F20" s="237">
        <v>1</v>
      </c>
      <c r="G20" s="254" t="s">
        <v>278</v>
      </c>
      <c r="H20" s="239"/>
      <c r="I20" s="106" t="s">
        <v>768</v>
      </c>
      <c r="J20" s="240">
        <v>2</v>
      </c>
      <c r="K20" s="241" t="s">
        <v>279</v>
      </c>
      <c r="L20" s="242"/>
      <c r="M20" s="106" t="s">
        <v>768</v>
      </c>
      <c r="N20" s="240">
        <v>3</v>
      </c>
      <c r="O20" s="243" t="s">
        <v>280</v>
      </c>
      <c r="P20" s="242"/>
      <c r="Q20" s="244"/>
      <c r="R20" s="774"/>
      <c r="S20" s="251"/>
      <c r="T20" s="301" t="str">
        <f>IF(E20="■","030201","")</f>
        <v/>
      </c>
      <c r="U20" s="302" t="str">
        <f>IF(I20="■","030202","")</f>
        <v/>
      </c>
      <c r="V20" s="322" t="str">
        <f>IF(M20="■","030203","")</f>
        <v/>
      </c>
    </row>
    <row r="21" spans="1:22">
      <c r="A21" s="220"/>
      <c r="B21" s="234"/>
      <c r="C21" s="216"/>
      <c r="D21" s="205"/>
      <c r="E21" s="85" t="s">
        <v>768</v>
      </c>
      <c r="F21" s="217">
        <v>4</v>
      </c>
      <c r="G21" s="245" t="s">
        <v>610</v>
      </c>
      <c r="H21" s="202"/>
      <c r="I21" s="86" t="s">
        <v>768</v>
      </c>
      <c r="J21" s="209">
        <v>5</v>
      </c>
      <c r="K21" s="257" t="s">
        <v>282</v>
      </c>
      <c r="L21" s="211"/>
      <c r="M21" s="86" t="s">
        <v>768</v>
      </c>
      <c r="N21" s="209">
        <v>6</v>
      </c>
      <c r="O21" s="210" t="s">
        <v>283</v>
      </c>
      <c r="P21" s="211"/>
      <c r="Q21" s="212"/>
      <c r="R21" s="774"/>
      <c r="S21" s="187"/>
      <c r="T21" s="303" t="str">
        <f>IF(E21="■","030204","")</f>
        <v/>
      </c>
      <c r="U21" s="304" t="str">
        <f>IF(I21="■","030205","")</f>
        <v/>
      </c>
      <c r="V21" s="323" t="str">
        <f>IF(M21="■","030206","")</f>
        <v/>
      </c>
    </row>
    <row r="22" spans="1:22">
      <c r="A22" s="220"/>
      <c r="B22" s="221"/>
      <c r="C22" s="216"/>
      <c r="D22" s="222" t="s">
        <v>284</v>
      </c>
      <c r="E22" s="85" t="s">
        <v>768</v>
      </c>
      <c r="F22" s="217">
        <v>7</v>
      </c>
      <c r="G22" s="208" t="s">
        <v>285</v>
      </c>
      <c r="H22" s="202"/>
      <c r="I22" s="86" t="s">
        <v>768</v>
      </c>
      <c r="J22" s="209">
        <v>8</v>
      </c>
      <c r="K22" s="257" t="s">
        <v>63</v>
      </c>
      <c r="L22" s="211"/>
      <c r="M22" s="86" t="s">
        <v>768</v>
      </c>
      <c r="N22" s="209">
        <v>9</v>
      </c>
      <c r="O22" s="257" t="s">
        <v>64</v>
      </c>
      <c r="P22" s="211"/>
      <c r="Q22" s="212"/>
      <c r="R22" s="774"/>
      <c r="S22" s="187"/>
      <c r="T22" s="303" t="str">
        <f>IF(E22="■","030207","")</f>
        <v/>
      </c>
      <c r="U22" s="304" t="str">
        <f>IF(I22="■","030208","")</f>
        <v/>
      </c>
      <c r="V22" s="323" t="str">
        <f>IF(M22="■","030209","")</f>
        <v/>
      </c>
    </row>
    <row r="23" spans="1:22" ht="17.25" customHeight="1">
      <c r="A23" s="220"/>
      <c r="B23" s="221"/>
      <c r="C23" s="226"/>
      <c r="D23" s="227"/>
      <c r="E23" s="105" t="s">
        <v>768</v>
      </c>
      <c r="F23" s="228">
        <v>99</v>
      </c>
      <c r="G23" s="258" t="s">
        <v>590</v>
      </c>
      <c r="H23" s="230"/>
      <c r="I23" s="231" t="s">
        <v>50</v>
      </c>
      <c r="J23" s="778"/>
      <c r="K23" s="778"/>
      <c r="L23" s="778"/>
      <c r="M23" s="778"/>
      <c r="N23" s="778"/>
      <c r="O23" s="778"/>
      <c r="P23" s="778"/>
      <c r="Q23" s="232" t="s">
        <v>51</v>
      </c>
      <c r="R23" s="233" t="str">
        <f>IF(E23="■","←必須","")</f>
        <v/>
      </c>
      <c r="S23" s="251"/>
      <c r="T23" s="305" t="str">
        <f>IF(E23="■","030299","")</f>
        <v/>
      </c>
      <c r="U23" s="306"/>
      <c r="V23" s="324"/>
    </row>
    <row r="24" spans="1:22" ht="13.5" customHeight="1">
      <c r="A24" s="220"/>
      <c r="B24" s="234"/>
      <c r="C24" s="235">
        <v>3</v>
      </c>
      <c r="D24" s="236" t="s">
        <v>286</v>
      </c>
      <c r="E24" s="85" t="s">
        <v>768</v>
      </c>
      <c r="F24" s="237">
        <v>1</v>
      </c>
      <c r="G24" s="254" t="s">
        <v>287</v>
      </c>
      <c r="H24" s="239"/>
      <c r="I24" s="106" t="s">
        <v>768</v>
      </c>
      <c r="J24" s="240">
        <v>2</v>
      </c>
      <c r="K24" s="241" t="s">
        <v>288</v>
      </c>
      <c r="L24" s="242"/>
      <c r="M24" s="106" t="s">
        <v>768</v>
      </c>
      <c r="N24" s="240">
        <v>3</v>
      </c>
      <c r="O24" s="241" t="s">
        <v>289</v>
      </c>
      <c r="P24" s="242"/>
      <c r="Q24" s="244"/>
      <c r="R24" s="774"/>
      <c r="S24" s="251"/>
      <c r="T24" s="301" t="str">
        <f>IF(E24="■","030301","")</f>
        <v/>
      </c>
      <c r="U24" s="302" t="str">
        <f>IF(I24="■","030302","")</f>
        <v/>
      </c>
      <c r="V24" s="322" t="str">
        <f>IF(M24="■","030303","")</f>
        <v/>
      </c>
    </row>
    <row r="25" spans="1:22">
      <c r="A25" s="220"/>
      <c r="B25" s="234"/>
      <c r="C25" s="216"/>
      <c r="D25" s="205"/>
      <c r="E25" s="85" t="s">
        <v>768</v>
      </c>
      <c r="F25" s="217">
        <v>4</v>
      </c>
      <c r="G25" s="245" t="s">
        <v>282</v>
      </c>
      <c r="H25" s="202"/>
      <c r="I25" s="86" t="s">
        <v>768</v>
      </c>
      <c r="J25" s="209">
        <v>5</v>
      </c>
      <c r="K25" s="210" t="s">
        <v>290</v>
      </c>
      <c r="L25" s="211"/>
      <c r="M25" s="225" t="b">
        <v>0</v>
      </c>
      <c r="N25" s="209"/>
      <c r="O25" s="210"/>
      <c r="P25" s="211"/>
      <c r="Q25" s="212"/>
      <c r="R25" s="774"/>
      <c r="S25" s="187"/>
      <c r="T25" s="303" t="str">
        <f>IF(E25="■","030304","")</f>
        <v/>
      </c>
      <c r="U25" s="304" t="str">
        <f>IF(I25="■","030305","")</f>
        <v/>
      </c>
      <c r="V25" s="323"/>
    </row>
    <row r="26" spans="1:22">
      <c r="A26" s="220"/>
      <c r="B26" s="221"/>
      <c r="C26" s="216"/>
      <c r="D26" s="222"/>
      <c r="E26" s="259" t="b">
        <v>0</v>
      </c>
      <c r="F26" s="217"/>
      <c r="G26" s="208"/>
      <c r="H26" s="202"/>
      <c r="I26" s="247" t="b">
        <v>0</v>
      </c>
      <c r="J26" s="209"/>
      <c r="K26" s="210"/>
      <c r="L26" s="211"/>
      <c r="M26" s="225" t="b">
        <v>0</v>
      </c>
      <c r="N26" s="209"/>
      <c r="O26" s="210"/>
      <c r="P26" s="211"/>
      <c r="Q26" s="212"/>
      <c r="R26" s="774"/>
      <c r="S26" s="187"/>
      <c r="T26" s="303"/>
      <c r="U26" s="304"/>
      <c r="V26" s="323"/>
    </row>
    <row r="27" spans="1:22" ht="15.75" customHeight="1">
      <c r="A27" s="220"/>
      <c r="B27" s="221"/>
      <c r="C27" s="226"/>
      <c r="D27" s="227"/>
      <c r="E27" s="105" t="s">
        <v>768</v>
      </c>
      <c r="F27" s="228">
        <v>99</v>
      </c>
      <c r="G27" s="250" t="s">
        <v>291</v>
      </c>
      <c r="H27" s="230"/>
      <c r="I27" s="231" t="s">
        <v>50</v>
      </c>
      <c r="J27" s="778"/>
      <c r="K27" s="778"/>
      <c r="L27" s="778"/>
      <c r="M27" s="778"/>
      <c r="N27" s="778"/>
      <c r="O27" s="778"/>
      <c r="P27" s="778"/>
      <c r="Q27" s="232" t="s">
        <v>51</v>
      </c>
      <c r="R27" s="233" t="str">
        <f>IF(E27="■","←必須","")</f>
        <v/>
      </c>
      <c r="S27" s="251"/>
      <c r="T27" s="305" t="str">
        <f>IF(E27="■","030399","")</f>
        <v/>
      </c>
      <c r="U27" s="306"/>
      <c r="V27" s="324"/>
    </row>
    <row r="28" spans="1:22">
      <c r="A28" s="220"/>
      <c r="B28" s="234"/>
      <c r="C28" s="235">
        <v>4</v>
      </c>
      <c r="D28" s="236" t="s">
        <v>292</v>
      </c>
      <c r="E28" s="85" t="s">
        <v>768</v>
      </c>
      <c r="F28" s="237">
        <v>1</v>
      </c>
      <c r="G28" s="254" t="s">
        <v>293</v>
      </c>
      <c r="H28" s="239"/>
      <c r="I28" s="106" t="s">
        <v>768</v>
      </c>
      <c r="J28" s="240">
        <v>2</v>
      </c>
      <c r="K28" s="241" t="s">
        <v>611</v>
      </c>
      <c r="L28" s="242"/>
      <c r="M28" s="260" t="b">
        <v>0</v>
      </c>
      <c r="N28" s="240"/>
      <c r="O28" s="241"/>
      <c r="P28" s="242"/>
      <c r="Q28" s="244"/>
      <c r="R28" s="774"/>
      <c r="S28" s="251"/>
      <c r="T28" s="301" t="str">
        <f>IF(E28="■","030401","")</f>
        <v/>
      </c>
      <c r="U28" s="302" t="str">
        <f>IF(I28="■","030402","")</f>
        <v/>
      </c>
      <c r="V28" s="322"/>
    </row>
    <row r="29" spans="1:22" ht="9" customHeight="1">
      <c r="A29" s="220"/>
      <c r="B29" s="234"/>
      <c r="C29" s="216"/>
      <c r="D29" s="205"/>
      <c r="E29" s="259" t="b">
        <v>0</v>
      </c>
      <c r="F29" s="217"/>
      <c r="G29" s="208"/>
      <c r="H29" s="202"/>
      <c r="I29" s="247" t="b">
        <v>0</v>
      </c>
      <c r="J29" s="209"/>
      <c r="K29" s="210"/>
      <c r="L29" s="211"/>
      <c r="M29" s="225" t="b">
        <v>0</v>
      </c>
      <c r="N29" s="209"/>
      <c r="O29" s="210"/>
      <c r="P29" s="211"/>
      <c r="Q29" s="212"/>
      <c r="R29" s="774"/>
      <c r="S29" s="187"/>
      <c r="T29" s="303"/>
      <c r="U29" s="304"/>
      <c r="V29" s="323"/>
    </row>
    <row r="30" spans="1:22" ht="9" customHeight="1">
      <c r="A30" s="220"/>
      <c r="B30" s="221"/>
      <c r="C30" s="216"/>
      <c r="D30" s="222"/>
      <c r="E30" s="259" t="b">
        <v>0</v>
      </c>
      <c r="F30" s="217"/>
      <c r="G30" s="208"/>
      <c r="H30" s="202"/>
      <c r="I30" s="247" t="b">
        <v>0</v>
      </c>
      <c r="J30" s="209"/>
      <c r="K30" s="210"/>
      <c r="L30" s="211"/>
      <c r="M30" s="225" t="b">
        <v>0</v>
      </c>
      <c r="N30" s="209"/>
      <c r="O30" s="210"/>
      <c r="P30" s="211"/>
      <c r="Q30" s="212"/>
      <c r="R30" s="774"/>
      <c r="S30" s="187"/>
      <c r="T30" s="303"/>
      <c r="U30" s="304"/>
      <c r="V30" s="323"/>
    </row>
    <row r="31" spans="1:22" ht="16.5" customHeight="1">
      <c r="A31" s="220"/>
      <c r="B31" s="221"/>
      <c r="C31" s="226"/>
      <c r="D31" s="227"/>
      <c r="E31" s="105" t="s">
        <v>768</v>
      </c>
      <c r="F31" s="228">
        <v>99</v>
      </c>
      <c r="G31" s="250" t="s">
        <v>294</v>
      </c>
      <c r="H31" s="230"/>
      <c r="I31" s="231" t="s">
        <v>50</v>
      </c>
      <c r="J31" s="778"/>
      <c r="K31" s="778"/>
      <c r="L31" s="778"/>
      <c r="M31" s="778"/>
      <c r="N31" s="778"/>
      <c r="O31" s="778"/>
      <c r="P31" s="778"/>
      <c r="Q31" s="232" t="s">
        <v>51</v>
      </c>
      <c r="R31" s="233" t="str">
        <f>IF(E31="■","←必須","")</f>
        <v/>
      </c>
      <c r="S31" s="251"/>
      <c r="T31" s="305" t="str">
        <f>IF(E31="■","030499","")</f>
        <v/>
      </c>
      <c r="U31" s="306"/>
      <c r="V31" s="324"/>
    </row>
    <row r="32" spans="1:22">
      <c r="A32" s="220"/>
      <c r="B32" s="234"/>
      <c r="C32" s="235">
        <v>5</v>
      </c>
      <c r="D32" s="236" t="s">
        <v>295</v>
      </c>
      <c r="E32" s="85" t="s">
        <v>768</v>
      </c>
      <c r="F32" s="237">
        <v>1</v>
      </c>
      <c r="G32" s="254" t="s">
        <v>296</v>
      </c>
      <c r="H32" s="239"/>
      <c r="I32" s="106" t="s">
        <v>768</v>
      </c>
      <c r="J32" s="240">
        <v>2</v>
      </c>
      <c r="K32" s="241" t="s">
        <v>297</v>
      </c>
      <c r="L32" s="242"/>
      <c r="M32" s="260" t="b">
        <v>0</v>
      </c>
      <c r="N32" s="240"/>
      <c r="O32" s="241"/>
      <c r="P32" s="242"/>
      <c r="Q32" s="244"/>
      <c r="R32" s="774"/>
      <c r="S32" s="251"/>
      <c r="T32" s="301" t="str">
        <f>IF(E32="■","030501","")</f>
        <v/>
      </c>
      <c r="U32" s="302" t="str">
        <f>IF(I32="■","030502","")</f>
        <v/>
      </c>
      <c r="V32" s="322"/>
    </row>
    <row r="33" spans="1:22" ht="9" customHeight="1">
      <c r="A33" s="220"/>
      <c r="B33" s="234"/>
      <c r="C33" s="216"/>
      <c r="D33" s="205"/>
      <c r="E33" s="259" t="b">
        <v>0</v>
      </c>
      <c r="F33" s="217"/>
      <c r="G33" s="208"/>
      <c r="H33" s="202"/>
      <c r="I33" s="247" t="b">
        <v>0</v>
      </c>
      <c r="J33" s="209"/>
      <c r="K33" s="210"/>
      <c r="L33" s="211"/>
      <c r="M33" s="225"/>
      <c r="N33" s="209"/>
      <c r="O33" s="210"/>
      <c r="P33" s="211"/>
      <c r="Q33" s="212"/>
      <c r="R33" s="774"/>
      <c r="S33" s="187"/>
      <c r="T33" s="303"/>
      <c r="U33" s="304"/>
      <c r="V33" s="323"/>
    </row>
    <row r="34" spans="1:22" ht="9" customHeight="1">
      <c r="A34" s="220"/>
      <c r="B34" s="221"/>
      <c r="C34" s="216"/>
      <c r="D34" s="222"/>
      <c r="E34" s="259" t="b">
        <v>0</v>
      </c>
      <c r="F34" s="217"/>
      <c r="G34" s="208"/>
      <c r="H34" s="202"/>
      <c r="I34" s="247" t="b">
        <v>0</v>
      </c>
      <c r="J34" s="209"/>
      <c r="K34" s="210"/>
      <c r="L34" s="211"/>
      <c r="M34" s="225"/>
      <c r="N34" s="209"/>
      <c r="O34" s="210"/>
      <c r="P34" s="211"/>
      <c r="Q34" s="212"/>
      <c r="R34" s="774"/>
      <c r="S34" s="187"/>
      <c r="T34" s="303"/>
      <c r="U34" s="304"/>
      <c r="V34" s="323"/>
    </row>
    <row r="35" spans="1:22" ht="16.5" customHeight="1">
      <c r="A35" s="248"/>
      <c r="B35" s="249"/>
      <c r="C35" s="226"/>
      <c r="D35" s="227"/>
      <c r="E35" s="105" t="s">
        <v>768</v>
      </c>
      <c r="F35" s="228">
        <v>99</v>
      </c>
      <c r="G35" s="250" t="s">
        <v>298</v>
      </c>
      <c r="H35" s="230"/>
      <c r="I35" s="231" t="s">
        <v>50</v>
      </c>
      <c r="J35" s="778"/>
      <c r="K35" s="778"/>
      <c r="L35" s="778"/>
      <c r="M35" s="778"/>
      <c r="N35" s="778"/>
      <c r="O35" s="778"/>
      <c r="P35" s="778"/>
      <c r="Q35" s="232" t="s">
        <v>51</v>
      </c>
      <c r="R35" s="233" t="str">
        <f>IF(E35="■","←必須","")</f>
        <v/>
      </c>
      <c r="S35" s="251"/>
      <c r="T35" s="305" t="str">
        <f>IF(E35="■","030599","")</f>
        <v/>
      </c>
      <c r="U35" s="306"/>
      <c r="V35" s="324"/>
    </row>
    <row r="36" spans="1:22">
      <c r="A36" s="252">
        <v>4</v>
      </c>
      <c r="B36" s="253" t="s">
        <v>251</v>
      </c>
      <c r="C36" s="235">
        <v>1</v>
      </c>
      <c r="D36" s="236" t="s">
        <v>299</v>
      </c>
      <c r="E36" s="85" t="s">
        <v>768</v>
      </c>
      <c r="F36" s="237">
        <v>1</v>
      </c>
      <c r="G36" s="254" t="s">
        <v>300</v>
      </c>
      <c r="H36" s="239"/>
      <c r="I36" s="106" t="s">
        <v>768</v>
      </c>
      <c r="J36" s="240">
        <v>2</v>
      </c>
      <c r="K36" s="241" t="s">
        <v>612</v>
      </c>
      <c r="L36" s="242"/>
      <c r="M36" s="106" t="s">
        <v>768</v>
      </c>
      <c r="N36" s="240">
        <v>3</v>
      </c>
      <c r="O36" s="241" t="s">
        <v>301</v>
      </c>
      <c r="P36" s="242"/>
      <c r="Q36" s="244"/>
      <c r="R36" s="774"/>
      <c r="S36" s="251"/>
      <c r="T36" s="301" t="str">
        <f>IF(E36="■","040101","")</f>
        <v/>
      </c>
      <c r="U36" s="302" t="str">
        <f>IF(I36="■","040102","")</f>
        <v/>
      </c>
      <c r="V36" s="322" t="str">
        <f>IF(M36="■","040103","")</f>
        <v/>
      </c>
    </row>
    <row r="37" spans="1:22">
      <c r="A37" s="220"/>
      <c r="B37" s="234"/>
      <c r="C37" s="216"/>
      <c r="D37" s="205"/>
      <c r="E37" s="85" t="s">
        <v>768</v>
      </c>
      <c r="F37" s="217">
        <v>4</v>
      </c>
      <c r="G37" s="208" t="s">
        <v>302</v>
      </c>
      <c r="H37" s="202"/>
      <c r="I37" s="86" t="s">
        <v>768</v>
      </c>
      <c r="J37" s="209">
        <v>5</v>
      </c>
      <c r="K37" s="210" t="s">
        <v>303</v>
      </c>
      <c r="L37" s="211"/>
      <c r="M37" s="86" t="s">
        <v>768</v>
      </c>
      <c r="N37" s="209">
        <v>6</v>
      </c>
      <c r="O37" s="210" t="s">
        <v>304</v>
      </c>
      <c r="P37" s="211"/>
      <c r="Q37" s="212"/>
      <c r="R37" s="774"/>
      <c r="S37" s="187"/>
      <c r="T37" s="303" t="str">
        <f>IF(E37="■","040104","")</f>
        <v/>
      </c>
      <c r="U37" s="304" t="str">
        <f>IF(I37="■","040105","")</f>
        <v/>
      </c>
      <c r="V37" s="323" t="str">
        <f>IF(M37="■","040106","")</f>
        <v/>
      </c>
    </row>
    <row r="38" spans="1:22">
      <c r="A38" s="220"/>
      <c r="B38" s="221"/>
      <c r="C38" s="216"/>
      <c r="D38" s="222"/>
      <c r="E38" s="85" t="s">
        <v>768</v>
      </c>
      <c r="F38" s="217">
        <v>7</v>
      </c>
      <c r="G38" s="208" t="s">
        <v>305</v>
      </c>
      <c r="H38" s="202"/>
      <c r="I38" s="86" t="s">
        <v>768</v>
      </c>
      <c r="J38" s="209">
        <v>8</v>
      </c>
      <c r="K38" s="210" t="s">
        <v>306</v>
      </c>
      <c r="L38" s="211"/>
      <c r="M38" s="86" t="s">
        <v>768</v>
      </c>
      <c r="N38" s="209">
        <v>9</v>
      </c>
      <c r="O38" s="210" t="s">
        <v>307</v>
      </c>
      <c r="P38" s="211"/>
      <c r="Q38" s="212"/>
      <c r="R38" s="774"/>
      <c r="S38" s="187"/>
      <c r="T38" s="303" t="str">
        <f>IF(E38="■","040107","")</f>
        <v/>
      </c>
      <c r="U38" s="304" t="str">
        <f>IF(I38="■","040108","")</f>
        <v/>
      </c>
      <c r="V38" s="323" t="str">
        <f>IF(M38="■","040109","")</f>
        <v/>
      </c>
    </row>
    <row r="39" spans="1:22">
      <c r="A39" s="220"/>
      <c r="B39" s="221"/>
      <c r="C39" s="226"/>
      <c r="D39" s="227"/>
      <c r="E39" s="105" t="s">
        <v>768</v>
      </c>
      <c r="F39" s="228">
        <v>99</v>
      </c>
      <c r="G39" s="250" t="s">
        <v>308</v>
      </c>
      <c r="H39" s="230"/>
      <c r="I39" s="231" t="s">
        <v>50</v>
      </c>
      <c r="J39" s="778"/>
      <c r="K39" s="778"/>
      <c r="L39" s="778"/>
      <c r="M39" s="778"/>
      <c r="N39" s="778"/>
      <c r="O39" s="778"/>
      <c r="P39" s="778"/>
      <c r="Q39" s="232" t="s">
        <v>51</v>
      </c>
      <c r="R39" s="233" t="str">
        <f>IF(E39="■","←必須","")</f>
        <v/>
      </c>
      <c r="S39" s="251"/>
      <c r="T39" s="305" t="str">
        <f>IF(E39="■","040199","")</f>
        <v/>
      </c>
      <c r="U39" s="306"/>
      <c r="V39" s="324"/>
    </row>
    <row r="40" spans="1:22">
      <c r="A40" s="220"/>
      <c r="B40" s="234"/>
      <c r="C40" s="235">
        <v>2</v>
      </c>
      <c r="D40" s="236" t="s">
        <v>309</v>
      </c>
      <c r="E40" s="85" t="s">
        <v>768</v>
      </c>
      <c r="F40" s="237">
        <v>1</v>
      </c>
      <c r="G40" s="254" t="s">
        <v>310</v>
      </c>
      <c r="H40" s="239"/>
      <c r="I40" s="106" t="s">
        <v>768</v>
      </c>
      <c r="J40" s="240">
        <v>2</v>
      </c>
      <c r="K40" s="241" t="s">
        <v>311</v>
      </c>
      <c r="L40" s="242"/>
      <c r="M40" s="106" t="s">
        <v>768</v>
      </c>
      <c r="N40" s="240">
        <v>3</v>
      </c>
      <c r="O40" s="241" t="s">
        <v>312</v>
      </c>
      <c r="P40" s="242"/>
      <c r="Q40" s="244"/>
      <c r="R40" s="774"/>
      <c r="S40" s="251"/>
      <c r="T40" s="301" t="str">
        <f>IF(E40="■","040201","")</f>
        <v/>
      </c>
      <c r="U40" s="302" t="str">
        <f>IF(I40="■","040202","")</f>
        <v/>
      </c>
      <c r="V40" s="322" t="str">
        <f>IF(M40="■","040203","")</f>
        <v/>
      </c>
    </row>
    <row r="41" spans="1:22">
      <c r="A41" s="220"/>
      <c r="B41" s="234"/>
      <c r="C41" s="216"/>
      <c r="D41" s="205"/>
      <c r="E41" s="85" t="s">
        <v>768</v>
      </c>
      <c r="F41" s="217">
        <v>4</v>
      </c>
      <c r="G41" s="208" t="s">
        <v>313</v>
      </c>
      <c r="H41" s="202"/>
      <c r="I41" s="86" t="s">
        <v>768</v>
      </c>
      <c r="J41" s="209">
        <v>5</v>
      </c>
      <c r="K41" s="210" t="s">
        <v>314</v>
      </c>
      <c r="L41" s="211"/>
      <c r="M41" s="86" t="s">
        <v>768</v>
      </c>
      <c r="N41" s="209">
        <v>6</v>
      </c>
      <c r="O41" s="780" t="s">
        <v>592</v>
      </c>
      <c r="P41" s="781"/>
      <c r="Q41" s="212"/>
      <c r="R41" s="774"/>
      <c r="S41" s="187"/>
      <c r="T41" s="303" t="str">
        <f>IF(E41="■","040204","")</f>
        <v/>
      </c>
      <c r="U41" s="304" t="str">
        <f>IF(I41="■","040205","")</f>
        <v/>
      </c>
      <c r="V41" s="323" t="str">
        <f>IF(M41="■","040206","")</f>
        <v/>
      </c>
    </row>
    <row r="42" spans="1:22">
      <c r="A42" s="220"/>
      <c r="B42" s="221"/>
      <c r="C42" s="216"/>
      <c r="D42" s="222"/>
      <c r="E42" s="85" t="s">
        <v>768</v>
      </c>
      <c r="F42" s="217">
        <v>7</v>
      </c>
      <c r="G42" s="208" t="s">
        <v>315</v>
      </c>
      <c r="H42" s="202"/>
      <c r="I42" s="86" t="s">
        <v>768</v>
      </c>
      <c r="J42" s="209">
        <v>8</v>
      </c>
      <c r="K42" s="210" t="s">
        <v>316</v>
      </c>
      <c r="L42" s="211"/>
      <c r="M42" s="218"/>
      <c r="N42" s="209"/>
      <c r="O42" s="210"/>
      <c r="P42" s="211"/>
      <c r="Q42" s="212"/>
      <c r="R42" s="774"/>
      <c r="S42" s="187"/>
      <c r="T42" s="303" t="str">
        <f>IF(E42="■","040207","")</f>
        <v/>
      </c>
      <c r="U42" s="304" t="str">
        <f>IF(I42="■","040208","")</f>
        <v/>
      </c>
      <c r="V42" s="323"/>
    </row>
    <row r="43" spans="1:22">
      <c r="A43" s="220"/>
      <c r="B43" s="221"/>
      <c r="C43" s="226"/>
      <c r="D43" s="227"/>
      <c r="E43" s="105" t="s">
        <v>768</v>
      </c>
      <c r="F43" s="228">
        <v>99</v>
      </c>
      <c r="G43" s="250" t="s">
        <v>317</v>
      </c>
      <c r="H43" s="230"/>
      <c r="I43" s="231" t="s">
        <v>50</v>
      </c>
      <c r="J43" s="778"/>
      <c r="K43" s="778"/>
      <c r="L43" s="778"/>
      <c r="M43" s="778"/>
      <c r="N43" s="778"/>
      <c r="O43" s="778"/>
      <c r="P43" s="778"/>
      <c r="Q43" s="232" t="s">
        <v>51</v>
      </c>
      <c r="R43" s="233" t="str">
        <f>IF(E43="■","←必須","")</f>
        <v/>
      </c>
      <c r="S43" s="251"/>
      <c r="T43" s="305" t="str">
        <f>IF(E43="■","040299","")</f>
        <v/>
      </c>
      <c r="U43" s="306"/>
      <c r="V43" s="324"/>
    </row>
    <row r="44" spans="1:22">
      <c r="A44" s="220"/>
      <c r="B44" s="234"/>
      <c r="C44" s="235">
        <v>3</v>
      </c>
      <c r="D44" s="236" t="s">
        <v>318</v>
      </c>
      <c r="E44" s="85" t="s">
        <v>768</v>
      </c>
      <c r="F44" s="237">
        <v>1</v>
      </c>
      <c r="G44" s="261" t="s">
        <v>613</v>
      </c>
      <c r="H44" s="239"/>
      <c r="I44" s="106" t="s">
        <v>768</v>
      </c>
      <c r="J44" s="240">
        <v>2</v>
      </c>
      <c r="K44" s="243" t="s">
        <v>95</v>
      </c>
      <c r="L44" s="242"/>
      <c r="M44" s="106" t="s">
        <v>768</v>
      </c>
      <c r="N44" s="240">
        <v>3</v>
      </c>
      <c r="O44" s="241" t="s">
        <v>319</v>
      </c>
      <c r="P44" s="242"/>
      <c r="Q44" s="244"/>
      <c r="R44" s="774"/>
      <c r="S44" s="251"/>
      <c r="T44" s="301" t="str">
        <f>IF(E44="■","040301","")</f>
        <v/>
      </c>
      <c r="U44" s="302" t="str">
        <f>IF(I44="■","040302","")</f>
        <v/>
      </c>
      <c r="V44" s="322" t="str">
        <f>IF(M44="■","040303","")</f>
        <v/>
      </c>
    </row>
    <row r="45" spans="1:22">
      <c r="A45" s="220"/>
      <c r="B45" s="234"/>
      <c r="C45" s="216"/>
      <c r="D45" s="205"/>
      <c r="E45" s="85" t="s">
        <v>768</v>
      </c>
      <c r="F45" s="217">
        <v>4</v>
      </c>
      <c r="G45" s="208" t="s">
        <v>320</v>
      </c>
      <c r="H45" s="202"/>
      <c r="I45" s="86" t="s">
        <v>768</v>
      </c>
      <c r="J45" s="209">
        <v>5</v>
      </c>
      <c r="K45" s="210" t="s">
        <v>321</v>
      </c>
      <c r="L45" s="211"/>
      <c r="M45" s="86" t="s">
        <v>768</v>
      </c>
      <c r="N45" s="209">
        <v>6</v>
      </c>
      <c r="O45" s="210" t="s">
        <v>322</v>
      </c>
      <c r="P45" s="211"/>
      <c r="Q45" s="212"/>
      <c r="R45" s="774"/>
      <c r="S45" s="187"/>
      <c r="T45" s="303" t="str">
        <f>IF(E45="■","040304","")</f>
        <v/>
      </c>
      <c r="U45" s="304" t="str">
        <f>IF(I45="■","040305","")</f>
        <v/>
      </c>
      <c r="V45" s="323" t="str">
        <f>IF(M45="■","040306","")</f>
        <v/>
      </c>
    </row>
    <row r="46" spans="1:22">
      <c r="A46" s="220"/>
      <c r="B46" s="221"/>
      <c r="C46" s="216"/>
      <c r="D46" s="222"/>
      <c r="E46" s="85" t="s">
        <v>768</v>
      </c>
      <c r="F46" s="217">
        <v>7</v>
      </c>
      <c r="G46" s="208" t="s">
        <v>323</v>
      </c>
      <c r="H46" s="202"/>
      <c r="I46" s="86" t="s">
        <v>768</v>
      </c>
      <c r="J46" s="209">
        <v>8</v>
      </c>
      <c r="K46" s="210" t="s">
        <v>324</v>
      </c>
      <c r="L46" s="211"/>
      <c r="M46" s="86" t="s">
        <v>768</v>
      </c>
      <c r="N46" s="209">
        <v>9</v>
      </c>
      <c r="O46" s="210" t="s">
        <v>325</v>
      </c>
      <c r="P46" s="211"/>
      <c r="Q46" s="212"/>
      <c r="R46" s="774"/>
      <c r="S46" s="187"/>
      <c r="T46" s="303" t="str">
        <f>IF(E46="■","040307","")</f>
        <v/>
      </c>
      <c r="U46" s="304" t="str">
        <f>IF(I46="■","040308","")</f>
        <v/>
      </c>
      <c r="V46" s="323" t="str">
        <f>IF(M46="■","040309","")</f>
        <v/>
      </c>
    </row>
    <row r="47" spans="1:22" ht="17.25" customHeight="1">
      <c r="A47" s="220"/>
      <c r="B47" s="221"/>
      <c r="C47" s="226"/>
      <c r="D47" s="227"/>
      <c r="E47" s="105" t="s">
        <v>768</v>
      </c>
      <c r="F47" s="228">
        <v>99</v>
      </c>
      <c r="G47" s="250" t="s">
        <v>326</v>
      </c>
      <c r="H47" s="230"/>
      <c r="I47" s="231" t="s">
        <v>50</v>
      </c>
      <c r="J47" s="778"/>
      <c r="K47" s="778"/>
      <c r="L47" s="778"/>
      <c r="M47" s="778"/>
      <c r="N47" s="778"/>
      <c r="O47" s="778"/>
      <c r="P47" s="778"/>
      <c r="Q47" s="232" t="s">
        <v>51</v>
      </c>
      <c r="R47" s="233" t="str">
        <f>IF(E47="■","←必須","")</f>
        <v/>
      </c>
      <c r="S47" s="251"/>
      <c r="T47" s="305" t="str">
        <f>IF(E47="■","040399","")</f>
        <v/>
      </c>
      <c r="U47" s="306"/>
      <c r="V47" s="324"/>
    </row>
    <row r="48" spans="1:22" ht="15" customHeight="1">
      <c r="A48" s="220"/>
      <c r="B48" s="234"/>
      <c r="C48" s="235">
        <v>4</v>
      </c>
      <c r="D48" s="236" t="s">
        <v>327</v>
      </c>
      <c r="E48" s="85" t="s">
        <v>768</v>
      </c>
      <c r="F48" s="237">
        <v>1</v>
      </c>
      <c r="G48" s="254" t="s">
        <v>328</v>
      </c>
      <c r="H48" s="239"/>
      <c r="I48" s="106" t="s">
        <v>768</v>
      </c>
      <c r="J48" s="240">
        <v>2</v>
      </c>
      <c r="K48" s="241" t="s">
        <v>329</v>
      </c>
      <c r="L48" s="242"/>
      <c r="M48" s="106" t="s">
        <v>768</v>
      </c>
      <c r="N48" s="240">
        <v>3</v>
      </c>
      <c r="O48" s="241" t="s">
        <v>330</v>
      </c>
      <c r="P48" s="242"/>
      <c r="Q48" s="244"/>
      <c r="R48" s="774"/>
      <c r="S48" s="251"/>
      <c r="T48" s="301" t="str">
        <f>IF(E48="■","040401","")</f>
        <v/>
      </c>
      <c r="U48" s="302" t="str">
        <f>IF(I48="■","040402","")</f>
        <v/>
      </c>
      <c r="V48" s="322" t="str">
        <f>IF(M48="■","040403","")</f>
        <v/>
      </c>
    </row>
    <row r="49" spans="1:22">
      <c r="A49" s="220"/>
      <c r="B49" s="234"/>
      <c r="C49" s="216"/>
      <c r="D49" s="205"/>
      <c r="E49" s="85" t="s">
        <v>768</v>
      </c>
      <c r="F49" s="217">
        <v>4</v>
      </c>
      <c r="G49" s="208" t="s">
        <v>331</v>
      </c>
      <c r="H49" s="202"/>
      <c r="I49" s="86" t="s">
        <v>768</v>
      </c>
      <c r="J49" s="209">
        <v>5</v>
      </c>
      <c r="K49" s="210" t="s">
        <v>332</v>
      </c>
      <c r="L49" s="211"/>
      <c r="M49" s="86" t="s">
        <v>768</v>
      </c>
      <c r="N49" s="209">
        <v>6</v>
      </c>
      <c r="O49" s="210" t="s">
        <v>333</v>
      </c>
      <c r="P49" s="211"/>
      <c r="Q49" s="212"/>
      <c r="R49" s="774"/>
      <c r="S49" s="187"/>
      <c r="T49" s="303" t="str">
        <f>IF(E49="■","040404","")</f>
        <v/>
      </c>
      <c r="U49" s="304" t="str">
        <f>IF(I49="■","040405","")</f>
        <v/>
      </c>
      <c r="V49" s="323" t="str">
        <f>IF(M49="■","040406","")</f>
        <v/>
      </c>
    </row>
    <row r="50" spans="1:22">
      <c r="A50" s="220"/>
      <c r="B50" s="221"/>
      <c r="C50" s="216"/>
      <c r="D50" s="222"/>
      <c r="E50" s="85" t="s">
        <v>768</v>
      </c>
      <c r="F50" s="217">
        <v>7</v>
      </c>
      <c r="G50" s="208" t="s">
        <v>334</v>
      </c>
      <c r="H50" s="202"/>
      <c r="I50" s="86" t="s">
        <v>768</v>
      </c>
      <c r="J50" s="209">
        <v>8</v>
      </c>
      <c r="K50" s="210" t="s">
        <v>335</v>
      </c>
      <c r="L50" s="211"/>
      <c r="M50" s="86" t="s">
        <v>768</v>
      </c>
      <c r="N50" s="209">
        <v>9</v>
      </c>
      <c r="O50" s="210" t="s">
        <v>336</v>
      </c>
      <c r="P50" s="211"/>
      <c r="Q50" s="212"/>
      <c r="R50" s="774"/>
      <c r="S50" s="187"/>
      <c r="T50" s="303" t="str">
        <f>IF(E50="■","040407","")</f>
        <v/>
      </c>
      <c r="U50" s="304" t="str">
        <f>IF(I50="■","040408","")</f>
        <v/>
      </c>
      <c r="V50" s="323" t="str">
        <f>IF(M50="■","040409","")</f>
        <v/>
      </c>
    </row>
    <row r="51" spans="1:22">
      <c r="A51" s="220"/>
      <c r="B51" s="221"/>
      <c r="C51" s="226"/>
      <c r="D51" s="227"/>
      <c r="E51" s="105" t="s">
        <v>768</v>
      </c>
      <c r="F51" s="228">
        <v>99</v>
      </c>
      <c r="G51" s="250" t="s">
        <v>337</v>
      </c>
      <c r="H51" s="230"/>
      <c r="I51" s="231" t="s">
        <v>50</v>
      </c>
      <c r="J51" s="778"/>
      <c r="K51" s="778"/>
      <c r="L51" s="778"/>
      <c r="M51" s="778"/>
      <c r="N51" s="778"/>
      <c r="O51" s="778"/>
      <c r="P51" s="778"/>
      <c r="Q51" s="232" t="s">
        <v>51</v>
      </c>
      <c r="R51" s="233" t="str">
        <f>IF(E51="■","←必須","")</f>
        <v/>
      </c>
      <c r="S51" s="251"/>
      <c r="T51" s="305" t="str">
        <f>IF(E51="■","040499","")</f>
        <v/>
      </c>
      <c r="U51" s="306"/>
      <c r="V51" s="324"/>
    </row>
    <row r="52" spans="1:22">
      <c r="A52" s="220"/>
      <c r="B52" s="234"/>
      <c r="C52" s="235">
        <v>5</v>
      </c>
      <c r="D52" s="236" t="s">
        <v>226</v>
      </c>
      <c r="E52" s="85" t="s">
        <v>768</v>
      </c>
      <c r="F52" s="237">
        <v>1</v>
      </c>
      <c r="G52" s="254" t="s">
        <v>338</v>
      </c>
      <c r="H52" s="239"/>
      <c r="I52" s="106" t="s">
        <v>768</v>
      </c>
      <c r="J52" s="240">
        <v>2</v>
      </c>
      <c r="K52" s="241" t="s">
        <v>339</v>
      </c>
      <c r="L52" s="242"/>
      <c r="M52" s="106" t="s">
        <v>768</v>
      </c>
      <c r="N52" s="240">
        <v>3</v>
      </c>
      <c r="O52" s="241" t="s">
        <v>340</v>
      </c>
      <c r="P52" s="242"/>
      <c r="Q52" s="244"/>
      <c r="R52" s="774"/>
      <c r="S52" s="251"/>
      <c r="T52" s="301" t="str">
        <f>IF(E52="■","040501","")</f>
        <v/>
      </c>
      <c r="U52" s="302" t="str">
        <f>IF(I52="■","040502","")</f>
        <v/>
      </c>
      <c r="V52" s="322" t="str">
        <f>IF(M52="■","040503","")</f>
        <v/>
      </c>
    </row>
    <row r="53" spans="1:22">
      <c r="A53" s="220"/>
      <c r="B53" s="234"/>
      <c r="C53" s="216"/>
      <c r="D53" s="205" t="s">
        <v>614</v>
      </c>
      <c r="E53" s="85" t="s">
        <v>768</v>
      </c>
      <c r="F53" s="217">
        <v>4</v>
      </c>
      <c r="G53" s="208" t="s">
        <v>341</v>
      </c>
      <c r="H53" s="202"/>
      <c r="I53" s="86" t="s">
        <v>768</v>
      </c>
      <c r="J53" s="209">
        <v>5</v>
      </c>
      <c r="K53" s="210" t="s">
        <v>342</v>
      </c>
      <c r="L53" s="211"/>
      <c r="M53" s="225" t="b">
        <v>0</v>
      </c>
      <c r="N53" s="209"/>
      <c r="O53" s="210"/>
      <c r="P53" s="211"/>
      <c r="Q53" s="212"/>
      <c r="R53" s="774"/>
      <c r="S53" s="187"/>
      <c r="T53" s="303" t="str">
        <f>IF(E53="■","040504","")</f>
        <v/>
      </c>
      <c r="U53" s="304" t="str">
        <f>IF(I53="■","040505","")</f>
        <v/>
      </c>
      <c r="V53" s="323"/>
    </row>
    <row r="54" spans="1:22">
      <c r="A54" s="220"/>
      <c r="B54" s="221"/>
      <c r="C54" s="216"/>
      <c r="D54" s="222"/>
      <c r="E54" s="259" t="b">
        <v>0</v>
      </c>
      <c r="F54" s="217"/>
      <c r="G54" s="208"/>
      <c r="H54" s="202"/>
      <c r="I54" s="247"/>
      <c r="J54" s="209"/>
      <c r="K54" s="210"/>
      <c r="L54" s="211"/>
      <c r="M54" s="225"/>
      <c r="N54" s="209"/>
      <c r="O54" s="210"/>
      <c r="P54" s="211"/>
      <c r="Q54" s="212"/>
      <c r="R54" s="774"/>
      <c r="S54" s="187"/>
      <c r="T54" s="303"/>
      <c r="U54" s="304"/>
      <c r="V54" s="323"/>
    </row>
    <row r="55" spans="1:22">
      <c r="A55" s="220"/>
      <c r="B55" s="221"/>
      <c r="C55" s="226"/>
      <c r="D55" s="227"/>
      <c r="E55" s="105" t="s">
        <v>768</v>
      </c>
      <c r="F55" s="228">
        <v>99</v>
      </c>
      <c r="G55" s="250" t="s">
        <v>343</v>
      </c>
      <c r="H55" s="230"/>
      <c r="I55" s="231" t="s">
        <v>50</v>
      </c>
      <c r="J55" s="778"/>
      <c r="K55" s="778"/>
      <c r="L55" s="778"/>
      <c r="M55" s="778"/>
      <c r="N55" s="778"/>
      <c r="O55" s="778"/>
      <c r="P55" s="778"/>
      <c r="Q55" s="232" t="s">
        <v>51</v>
      </c>
      <c r="R55" s="233" t="str">
        <f>IF(E55="■","←必須","")</f>
        <v/>
      </c>
      <c r="S55" s="251"/>
      <c r="T55" s="305" t="str">
        <f>IF(E55="■","040599","")</f>
        <v/>
      </c>
      <c r="U55" s="306"/>
      <c r="V55" s="324"/>
    </row>
    <row r="56" spans="1:22">
      <c r="A56" s="220"/>
      <c r="B56" s="234"/>
      <c r="C56" s="235">
        <v>6</v>
      </c>
      <c r="D56" s="236" t="s">
        <v>344</v>
      </c>
      <c r="E56" s="85" t="s">
        <v>768</v>
      </c>
      <c r="F56" s="237">
        <v>1</v>
      </c>
      <c r="G56" s="254" t="s">
        <v>345</v>
      </c>
      <c r="H56" s="239"/>
      <c r="I56" s="106" t="s">
        <v>768</v>
      </c>
      <c r="J56" s="240">
        <v>2</v>
      </c>
      <c r="K56" s="241" t="s">
        <v>346</v>
      </c>
      <c r="L56" s="242"/>
      <c r="M56" s="106" t="s">
        <v>768</v>
      </c>
      <c r="N56" s="240">
        <v>3</v>
      </c>
      <c r="O56" s="241" t="s">
        <v>347</v>
      </c>
      <c r="P56" s="242"/>
      <c r="Q56" s="244"/>
      <c r="R56" s="774"/>
      <c r="S56" s="251"/>
      <c r="T56" s="301" t="str">
        <f>IF(E56="■","040601","")</f>
        <v/>
      </c>
      <c r="U56" s="302" t="str">
        <f>IF(I56="■","040602","")</f>
        <v/>
      </c>
      <c r="V56" s="322" t="str">
        <f>IF(M56="■","040603","")</f>
        <v/>
      </c>
    </row>
    <row r="57" spans="1:22">
      <c r="A57" s="220"/>
      <c r="B57" s="234"/>
      <c r="C57" s="216"/>
      <c r="D57" s="205"/>
      <c r="E57" s="85" t="s">
        <v>768</v>
      </c>
      <c r="F57" s="217">
        <v>4</v>
      </c>
      <c r="G57" s="208" t="s">
        <v>348</v>
      </c>
      <c r="H57" s="202"/>
      <c r="I57" s="86" t="s">
        <v>768</v>
      </c>
      <c r="J57" s="209">
        <v>5</v>
      </c>
      <c r="K57" s="210" t="s">
        <v>349</v>
      </c>
      <c r="L57" s="211"/>
      <c r="M57" s="86" t="s">
        <v>768</v>
      </c>
      <c r="N57" s="209">
        <v>6</v>
      </c>
      <c r="O57" s="210" t="s">
        <v>350</v>
      </c>
      <c r="P57" s="211"/>
      <c r="Q57" s="212"/>
      <c r="R57" s="774"/>
      <c r="S57" s="187"/>
      <c r="T57" s="303" t="str">
        <f>IF(E57="■","040604","")</f>
        <v/>
      </c>
      <c r="U57" s="304" t="str">
        <f>IF(I57="■","040605","")</f>
        <v/>
      </c>
      <c r="V57" s="323" t="str">
        <f>IF(M57="■","040606","")</f>
        <v/>
      </c>
    </row>
    <row r="58" spans="1:22">
      <c r="A58" s="220"/>
      <c r="B58" s="221"/>
      <c r="C58" s="216"/>
      <c r="D58" s="222"/>
      <c r="E58" s="259" t="b">
        <v>0</v>
      </c>
      <c r="F58" s="217"/>
      <c r="G58" s="208"/>
      <c r="H58" s="202"/>
      <c r="I58" s="247"/>
      <c r="J58" s="209"/>
      <c r="K58" s="210"/>
      <c r="L58" s="211"/>
      <c r="M58" s="225"/>
      <c r="N58" s="209"/>
      <c r="O58" s="210"/>
      <c r="P58" s="211"/>
      <c r="Q58" s="212"/>
      <c r="R58" s="774"/>
      <c r="S58" s="187"/>
      <c r="T58" s="303"/>
      <c r="U58" s="304"/>
      <c r="V58" s="323"/>
    </row>
    <row r="59" spans="1:22">
      <c r="A59" s="220"/>
      <c r="B59" s="221"/>
      <c r="C59" s="226"/>
      <c r="D59" s="227"/>
      <c r="E59" s="105" t="s">
        <v>768</v>
      </c>
      <c r="F59" s="228">
        <v>99</v>
      </c>
      <c r="G59" s="250" t="s">
        <v>351</v>
      </c>
      <c r="H59" s="230"/>
      <c r="I59" s="231" t="s">
        <v>50</v>
      </c>
      <c r="J59" s="778"/>
      <c r="K59" s="778"/>
      <c r="L59" s="778"/>
      <c r="M59" s="778"/>
      <c r="N59" s="778"/>
      <c r="O59" s="778"/>
      <c r="P59" s="778"/>
      <c r="Q59" s="232" t="s">
        <v>51</v>
      </c>
      <c r="R59" s="233" t="str">
        <f>IF(E59="■","←必須","")</f>
        <v/>
      </c>
      <c r="S59" s="251"/>
      <c r="T59" s="305" t="str">
        <f>IF(E59="■","040699","")</f>
        <v/>
      </c>
      <c r="U59" s="306"/>
      <c r="V59" s="324"/>
    </row>
    <row r="60" spans="1:22" ht="13.5" customHeight="1">
      <c r="A60" s="220"/>
      <c r="B60" s="234"/>
      <c r="C60" s="235">
        <v>7</v>
      </c>
      <c r="D60" s="236" t="s">
        <v>352</v>
      </c>
      <c r="E60" s="85" t="s">
        <v>768</v>
      </c>
      <c r="F60" s="237">
        <v>1</v>
      </c>
      <c r="G60" s="261" t="s">
        <v>97</v>
      </c>
      <c r="H60" s="239"/>
      <c r="I60" s="106" t="s">
        <v>768</v>
      </c>
      <c r="J60" s="240">
        <v>2</v>
      </c>
      <c r="K60" s="243" t="s">
        <v>96</v>
      </c>
      <c r="L60" s="242"/>
      <c r="M60" s="106" t="s">
        <v>768</v>
      </c>
      <c r="N60" s="240">
        <v>3</v>
      </c>
      <c r="O60" s="243" t="s">
        <v>52</v>
      </c>
      <c r="P60" s="242"/>
      <c r="Q60" s="244"/>
      <c r="R60" s="774"/>
      <c r="S60" s="251"/>
      <c r="T60" s="301" t="str">
        <f>IF(E60="■","040701","")</f>
        <v/>
      </c>
      <c r="U60" s="302" t="str">
        <f>IF(I60="■","040702","")</f>
        <v/>
      </c>
      <c r="V60" s="322" t="str">
        <f>IF(M60="■","040703","")</f>
        <v/>
      </c>
    </row>
    <row r="61" spans="1:22">
      <c r="A61" s="220"/>
      <c r="B61" s="234"/>
      <c r="C61" s="216"/>
      <c r="D61" s="205"/>
      <c r="E61" s="85" t="s">
        <v>768</v>
      </c>
      <c r="F61" s="217">
        <v>4</v>
      </c>
      <c r="G61" s="245" t="s">
        <v>615</v>
      </c>
      <c r="H61" s="202"/>
      <c r="I61" s="86" t="s">
        <v>768</v>
      </c>
      <c r="J61" s="209">
        <v>5</v>
      </c>
      <c r="K61" s="257" t="s">
        <v>616</v>
      </c>
      <c r="L61" s="211"/>
      <c r="M61" s="86" t="s">
        <v>768</v>
      </c>
      <c r="N61" s="209">
        <v>6</v>
      </c>
      <c r="O61" s="210" t="s">
        <v>353</v>
      </c>
      <c r="P61" s="211"/>
      <c r="Q61" s="212"/>
      <c r="R61" s="774"/>
      <c r="S61" s="187"/>
      <c r="T61" s="303" t="str">
        <f>IF(E61="■","040704","")</f>
        <v/>
      </c>
      <c r="U61" s="304" t="str">
        <f>IF(I61="■","040705","")</f>
        <v/>
      </c>
      <c r="V61" s="323" t="str">
        <f>IF(M61="■","040706","")</f>
        <v/>
      </c>
    </row>
    <row r="62" spans="1:22">
      <c r="A62" s="220"/>
      <c r="B62" s="221"/>
      <c r="C62" s="216"/>
      <c r="D62" s="222"/>
      <c r="E62" s="85" t="s">
        <v>768</v>
      </c>
      <c r="F62" s="217">
        <v>7</v>
      </c>
      <c r="G62" s="208" t="s">
        <v>354</v>
      </c>
      <c r="H62" s="202"/>
      <c r="I62" s="86" t="s">
        <v>768</v>
      </c>
      <c r="J62" s="209">
        <v>8</v>
      </c>
      <c r="K62" s="210" t="s">
        <v>355</v>
      </c>
      <c r="L62" s="211"/>
      <c r="M62" s="86" t="s">
        <v>768</v>
      </c>
      <c r="N62" s="209">
        <v>9</v>
      </c>
      <c r="O62" s="210" t="s">
        <v>356</v>
      </c>
      <c r="P62" s="211"/>
      <c r="Q62" s="212"/>
      <c r="R62" s="774"/>
      <c r="S62" s="187"/>
      <c r="T62" s="303" t="str">
        <f>IF(E62="■","040707","")</f>
        <v/>
      </c>
      <c r="U62" s="304" t="str">
        <f>IF(I62="■","040708","")</f>
        <v/>
      </c>
      <c r="V62" s="323" t="str">
        <f>IF(M62="■","040709","")</f>
        <v/>
      </c>
    </row>
    <row r="63" spans="1:22">
      <c r="A63" s="220"/>
      <c r="B63" s="221"/>
      <c r="C63" s="226"/>
      <c r="D63" s="227"/>
      <c r="E63" s="105" t="s">
        <v>768</v>
      </c>
      <c r="F63" s="228">
        <v>99</v>
      </c>
      <c r="G63" s="250" t="s">
        <v>357</v>
      </c>
      <c r="H63" s="230"/>
      <c r="I63" s="231" t="s">
        <v>50</v>
      </c>
      <c r="J63" s="778"/>
      <c r="K63" s="778"/>
      <c r="L63" s="778"/>
      <c r="M63" s="778"/>
      <c r="N63" s="778"/>
      <c r="O63" s="778"/>
      <c r="P63" s="778"/>
      <c r="Q63" s="232" t="s">
        <v>51</v>
      </c>
      <c r="R63" s="233" t="str">
        <f>IF(E63="■","←必須","")</f>
        <v/>
      </c>
      <c r="S63" s="251"/>
      <c r="T63" s="305" t="str">
        <f>IF(E63="■","040799","")</f>
        <v/>
      </c>
      <c r="U63" s="306"/>
      <c r="V63" s="324"/>
    </row>
    <row r="64" spans="1:22">
      <c r="A64" s="220"/>
      <c r="B64" s="234"/>
      <c r="C64" s="235">
        <v>8</v>
      </c>
      <c r="D64" s="236" t="s">
        <v>358</v>
      </c>
      <c r="E64" s="85" t="s">
        <v>768</v>
      </c>
      <c r="F64" s="237">
        <v>1</v>
      </c>
      <c r="G64" s="261" t="s">
        <v>617</v>
      </c>
      <c r="H64" s="239"/>
      <c r="I64" s="106" t="s">
        <v>768</v>
      </c>
      <c r="J64" s="240">
        <v>2</v>
      </c>
      <c r="K64" s="241" t="s">
        <v>618</v>
      </c>
      <c r="L64" s="242"/>
      <c r="M64" s="106" t="s">
        <v>768</v>
      </c>
      <c r="N64" s="240">
        <v>3</v>
      </c>
      <c r="O64" s="243" t="s">
        <v>54</v>
      </c>
      <c r="P64" s="242"/>
      <c r="Q64" s="244"/>
      <c r="R64" s="774"/>
      <c r="S64" s="251"/>
      <c r="T64" s="301" t="str">
        <f>IF(E64="■","040801","")</f>
        <v/>
      </c>
      <c r="U64" s="302" t="str">
        <f>IF(I64="■","040802","")</f>
        <v/>
      </c>
      <c r="V64" s="322" t="str">
        <f>IF(M64="■","040803","")</f>
        <v/>
      </c>
    </row>
    <row r="65" spans="1:22">
      <c r="A65" s="220"/>
      <c r="B65" s="234"/>
      <c r="C65" s="216"/>
      <c r="D65" s="205"/>
      <c r="E65" s="85" t="s">
        <v>768</v>
      </c>
      <c r="F65" s="217">
        <v>4</v>
      </c>
      <c r="G65" s="208" t="s">
        <v>359</v>
      </c>
      <c r="H65" s="202"/>
      <c r="I65" s="86" t="s">
        <v>768</v>
      </c>
      <c r="J65" s="209">
        <v>5</v>
      </c>
      <c r="K65" s="257" t="s">
        <v>55</v>
      </c>
      <c r="L65" s="211"/>
      <c r="M65" s="86" t="s">
        <v>768</v>
      </c>
      <c r="N65" s="209">
        <v>6</v>
      </c>
      <c r="O65" s="257" t="s">
        <v>58</v>
      </c>
      <c r="P65" s="211"/>
      <c r="Q65" s="212"/>
      <c r="R65" s="774"/>
      <c r="S65" s="187"/>
      <c r="T65" s="303" t="str">
        <f>IF(E65="■","040804","")</f>
        <v/>
      </c>
      <c r="U65" s="304" t="str">
        <f>IF(I65="■","040805","")</f>
        <v/>
      </c>
      <c r="V65" s="323" t="str">
        <f>IF(M65="■","040806","")</f>
        <v/>
      </c>
    </row>
    <row r="66" spans="1:22">
      <c r="A66" s="220"/>
      <c r="B66" s="221"/>
      <c r="C66" s="216"/>
      <c r="D66" s="222"/>
      <c r="E66" s="85" t="s">
        <v>768</v>
      </c>
      <c r="F66" s="217">
        <v>7</v>
      </c>
      <c r="G66" s="245" t="s">
        <v>360</v>
      </c>
      <c r="H66" s="202"/>
      <c r="I66" s="86" t="s">
        <v>768</v>
      </c>
      <c r="J66" s="209">
        <v>8</v>
      </c>
      <c r="K66" s="256" t="s">
        <v>576</v>
      </c>
      <c r="L66" s="211"/>
      <c r="M66" s="225" t="b">
        <v>0</v>
      </c>
      <c r="N66" s="209"/>
      <c r="O66" s="210"/>
      <c r="P66" s="211"/>
      <c r="Q66" s="212"/>
      <c r="R66" s="774"/>
      <c r="T66" s="303" t="str">
        <f>IF(E66="■","040807","")</f>
        <v/>
      </c>
      <c r="U66" s="304" t="str">
        <f>IF(I66="■","040808","")</f>
        <v/>
      </c>
      <c r="V66" s="323"/>
    </row>
    <row r="67" spans="1:22" ht="14.25" thickBot="1">
      <c r="A67" s="262"/>
      <c r="B67" s="263"/>
      <c r="C67" s="264"/>
      <c r="D67" s="265"/>
      <c r="E67" s="107" t="s">
        <v>768</v>
      </c>
      <c r="F67" s="266">
        <v>99</v>
      </c>
      <c r="G67" s="267" t="s">
        <v>361</v>
      </c>
      <c r="H67" s="268"/>
      <c r="I67" s="269" t="s">
        <v>50</v>
      </c>
      <c r="J67" s="782"/>
      <c r="K67" s="782"/>
      <c r="L67" s="782"/>
      <c r="M67" s="782"/>
      <c r="N67" s="782"/>
      <c r="O67" s="782"/>
      <c r="P67" s="782"/>
      <c r="Q67" s="270" t="s">
        <v>51</v>
      </c>
      <c r="R67" s="233" t="str">
        <f>IF(E67="■","←必須","")</f>
        <v/>
      </c>
      <c r="S67" s="251"/>
      <c r="T67" s="303" t="str">
        <f>IF(E67="■","040899","")</f>
        <v/>
      </c>
      <c r="U67" s="304"/>
      <c r="V67" s="323"/>
    </row>
    <row r="68" spans="1:22" ht="18.95" customHeight="1">
      <c r="A68" s="220">
        <v>4</v>
      </c>
      <c r="B68" s="234" t="s">
        <v>541</v>
      </c>
      <c r="C68" s="216">
        <v>9</v>
      </c>
      <c r="D68" s="205" t="s">
        <v>362</v>
      </c>
      <c r="E68" s="85" t="s">
        <v>768</v>
      </c>
      <c r="F68" s="217">
        <v>1</v>
      </c>
      <c r="G68" s="208" t="s">
        <v>363</v>
      </c>
      <c r="H68" s="202"/>
      <c r="I68" s="104" t="s">
        <v>768</v>
      </c>
      <c r="J68" s="209">
        <v>2</v>
      </c>
      <c r="K68" s="210" t="s">
        <v>364</v>
      </c>
      <c r="L68" s="211"/>
      <c r="M68" s="104" t="s">
        <v>768</v>
      </c>
      <c r="N68" s="209">
        <v>3</v>
      </c>
      <c r="O68" s="210" t="s">
        <v>365</v>
      </c>
      <c r="P68" s="211"/>
      <c r="Q68" s="212"/>
      <c r="R68" s="774"/>
      <c r="S68" s="251"/>
      <c r="T68" s="301" t="str">
        <f>IF(E68="■","040901","")</f>
        <v/>
      </c>
      <c r="U68" s="302" t="str">
        <f>IF(I68="■","040902","")</f>
        <v/>
      </c>
      <c r="V68" s="322" t="str">
        <f>IF(M68="■","040903","")</f>
        <v/>
      </c>
    </row>
    <row r="69" spans="1:22">
      <c r="A69" s="220"/>
      <c r="B69" s="234"/>
      <c r="C69" s="216"/>
      <c r="D69" s="205"/>
      <c r="E69" s="85" t="s">
        <v>768</v>
      </c>
      <c r="F69" s="217">
        <v>4</v>
      </c>
      <c r="G69" s="245" t="s">
        <v>566</v>
      </c>
      <c r="H69" s="202"/>
      <c r="I69" s="86" t="s">
        <v>768</v>
      </c>
      <c r="J69" s="209">
        <v>5</v>
      </c>
      <c r="K69" s="210" t="s">
        <v>366</v>
      </c>
      <c r="L69" s="211"/>
      <c r="M69" s="86" t="s">
        <v>768</v>
      </c>
      <c r="N69" s="209">
        <v>6</v>
      </c>
      <c r="O69" s="210" t="s">
        <v>367</v>
      </c>
      <c r="P69" s="211"/>
      <c r="Q69" s="212"/>
      <c r="R69" s="774"/>
      <c r="T69" s="303" t="str">
        <f>IF(E69="■","040904","")</f>
        <v/>
      </c>
      <c r="U69" s="304" t="str">
        <f>IF(I69="■","040905","")</f>
        <v/>
      </c>
      <c r="V69" s="323" t="str">
        <f>IF(M69="■","040906","")</f>
        <v/>
      </c>
    </row>
    <row r="70" spans="1:22">
      <c r="A70" s="220"/>
      <c r="B70" s="221"/>
      <c r="C70" s="216"/>
      <c r="D70" s="222"/>
      <c r="E70" s="85" t="s">
        <v>768</v>
      </c>
      <c r="F70" s="217">
        <v>7</v>
      </c>
      <c r="G70" s="208" t="s">
        <v>368</v>
      </c>
      <c r="H70" s="202"/>
      <c r="I70" s="86" t="s">
        <v>768</v>
      </c>
      <c r="J70" s="209">
        <v>8</v>
      </c>
      <c r="K70" s="210" t="s">
        <v>369</v>
      </c>
      <c r="L70" s="211"/>
      <c r="M70" s="86" t="s">
        <v>768</v>
      </c>
      <c r="N70" s="209">
        <v>9</v>
      </c>
      <c r="O70" s="210" t="s">
        <v>619</v>
      </c>
      <c r="P70" s="211"/>
      <c r="Q70" s="212"/>
      <c r="R70" s="774"/>
      <c r="T70" s="303" t="str">
        <f>IF(E70="■","040907","")</f>
        <v/>
      </c>
      <c r="U70" s="304" t="str">
        <f>IF(I70="■","040908","")</f>
        <v/>
      </c>
      <c r="V70" s="323" t="str">
        <f>IF(M70="■","040909","")</f>
        <v/>
      </c>
    </row>
    <row r="71" spans="1:22">
      <c r="A71" s="220"/>
      <c r="B71" s="221"/>
      <c r="C71" s="226"/>
      <c r="D71" s="227"/>
      <c r="E71" s="105" t="s">
        <v>768</v>
      </c>
      <c r="F71" s="228">
        <v>99</v>
      </c>
      <c r="G71" s="250" t="s">
        <v>370</v>
      </c>
      <c r="H71" s="230"/>
      <c r="I71" s="231" t="s">
        <v>50</v>
      </c>
      <c r="J71" s="778"/>
      <c r="K71" s="778"/>
      <c r="L71" s="778"/>
      <c r="M71" s="778"/>
      <c r="N71" s="778"/>
      <c r="O71" s="778"/>
      <c r="P71" s="778"/>
      <c r="Q71" s="232" t="s">
        <v>51</v>
      </c>
      <c r="R71" s="233" t="str">
        <f>IF(E71="■","←必須","")</f>
        <v/>
      </c>
      <c r="S71" s="251"/>
      <c r="T71" s="305" t="str">
        <f>IF(E71="■","040999","")</f>
        <v/>
      </c>
      <c r="U71" s="306"/>
      <c r="V71" s="324"/>
    </row>
    <row r="72" spans="1:22">
      <c r="A72" s="220"/>
      <c r="B72" s="234"/>
      <c r="C72" s="235">
        <v>10</v>
      </c>
      <c r="D72" s="236" t="s">
        <v>371</v>
      </c>
      <c r="E72" s="85" t="s">
        <v>768</v>
      </c>
      <c r="F72" s="237">
        <v>1</v>
      </c>
      <c r="G72" s="254" t="s">
        <v>372</v>
      </c>
      <c r="H72" s="239"/>
      <c r="I72" s="106" t="s">
        <v>768</v>
      </c>
      <c r="J72" s="240">
        <v>2</v>
      </c>
      <c r="K72" s="271" t="s">
        <v>579</v>
      </c>
      <c r="L72" s="242"/>
      <c r="M72" s="106" t="s">
        <v>768</v>
      </c>
      <c r="N72" s="240">
        <v>3</v>
      </c>
      <c r="O72" s="271" t="s">
        <v>578</v>
      </c>
      <c r="P72" s="242"/>
      <c r="Q72" s="244"/>
      <c r="R72" s="774"/>
      <c r="S72" s="251"/>
      <c r="T72" s="301" t="str">
        <f>IF(E72="■","041001","")</f>
        <v/>
      </c>
      <c r="U72" s="302" t="str">
        <f>IF(I72="■","041002","")</f>
        <v/>
      </c>
      <c r="V72" s="322" t="str">
        <f>IF(M72="■","041003","")</f>
        <v/>
      </c>
    </row>
    <row r="73" spans="1:22">
      <c r="A73" s="220"/>
      <c r="B73" s="234"/>
      <c r="C73" s="216"/>
      <c r="D73" s="205"/>
      <c r="E73" s="85" t="s">
        <v>768</v>
      </c>
      <c r="F73" s="217">
        <v>4</v>
      </c>
      <c r="G73" s="246" t="s">
        <v>577</v>
      </c>
      <c r="H73" s="202"/>
      <c r="I73" s="86" t="s">
        <v>768</v>
      </c>
      <c r="J73" s="209">
        <v>5</v>
      </c>
      <c r="K73" s="256" t="s">
        <v>620</v>
      </c>
      <c r="L73" s="211"/>
      <c r="M73" s="86" t="s">
        <v>768</v>
      </c>
      <c r="N73" s="209">
        <v>6</v>
      </c>
      <c r="O73" s="256" t="s">
        <v>621</v>
      </c>
      <c r="P73" s="211"/>
      <c r="Q73" s="212"/>
      <c r="R73" s="774"/>
      <c r="T73" s="303" t="str">
        <f>IF(E73="■","041004","")</f>
        <v/>
      </c>
      <c r="U73" s="304" t="str">
        <f>IF(I73="■","041005","")</f>
        <v/>
      </c>
      <c r="V73" s="323" t="str">
        <f>IF(M73="■","041006","")</f>
        <v/>
      </c>
    </row>
    <row r="74" spans="1:22">
      <c r="A74" s="220"/>
      <c r="B74" s="221"/>
      <c r="C74" s="216"/>
      <c r="D74" s="222"/>
      <c r="E74" s="259" t="b">
        <v>0</v>
      </c>
      <c r="F74" s="217"/>
      <c r="G74" s="208"/>
      <c r="H74" s="202"/>
      <c r="I74" s="247" t="b">
        <v>0</v>
      </c>
      <c r="J74" s="209"/>
      <c r="K74" s="210"/>
      <c r="L74" s="211"/>
      <c r="M74" s="225" t="b">
        <v>0</v>
      </c>
      <c r="N74" s="209"/>
      <c r="O74" s="210"/>
      <c r="P74" s="211"/>
      <c r="Q74" s="212"/>
      <c r="R74" s="774"/>
      <c r="T74" s="303"/>
      <c r="U74" s="304"/>
      <c r="V74" s="323"/>
    </row>
    <row r="75" spans="1:22">
      <c r="A75" s="220"/>
      <c r="B75" s="221"/>
      <c r="C75" s="226"/>
      <c r="D75" s="227"/>
      <c r="E75" s="105" t="s">
        <v>768</v>
      </c>
      <c r="F75" s="228">
        <v>99</v>
      </c>
      <c r="G75" s="229" t="s">
        <v>373</v>
      </c>
      <c r="H75" s="230"/>
      <c r="I75" s="231" t="s">
        <v>50</v>
      </c>
      <c r="J75" s="778"/>
      <c r="K75" s="778"/>
      <c r="L75" s="778"/>
      <c r="M75" s="778"/>
      <c r="N75" s="778"/>
      <c r="O75" s="778"/>
      <c r="P75" s="778"/>
      <c r="Q75" s="232" t="s">
        <v>51</v>
      </c>
      <c r="R75" s="233" t="str">
        <f>IF(E75="■","←必須","")</f>
        <v/>
      </c>
      <c r="S75" s="251"/>
      <c r="T75" s="305" t="str">
        <f>IF(E75="■","041099","")</f>
        <v/>
      </c>
      <c r="U75" s="306"/>
      <c r="V75" s="324"/>
    </row>
    <row r="76" spans="1:22">
      <c r="A76" s="220"/>
      <c r="B76" s="234"/>
      <c r="C76" s="235">
        <v>11</v>
      </c>
      <c r="D76" s="236" t="s">
        <v>374</v>
      </c>
      <c r="E76" s="85" t="s">
        <v>768</v>
      </c>
      <c r="F76" s="237">
        <v>1</v>
      </c>
      <c r="G76" s="254" t="s">
        <v>375</v>
      </c>
      <c r="H76" s="239"/>
      <c r="I76" s="106" t="s">
        <v>768</v>
      </c>
      <c r="J76" s="240">
        <v>2</v>
      </c>
      <c r="K76" s="241" t="s">
        <v>376</v>
      </c>
      <c r="L76" s="242"/>
      <c r="M76" s="106" t="s">
        <v>768</v>
      </c>
      <c r="N76" s="240">
        <v>3</v>
      </c>
      <c r="O76" s="241" t="s">
        <v>622</v>
      </c>
      <c r="P76" s="242"/>
      <c r="Q76" s="244"/>
      <c r="R76" s="774"/>
      <c r="S76" s="251"/>
      <c r="T76" s="301" t="str">
        <f>IF(E76="■","041101","")</f>
        <v/>
      </c>
      <c r="U76" s="302" t="str">
        <f>IF(I76="■","041102","")</f>
        <v/>
      </c>
      <c r="V76" s="322" t="str">
        <f>IF(M76="■","041103","")</f>
        <v/>
      </c>
    </row>
    <row r="77" spans="1:22">
      <c r="A77" s="220"/>
      <c r="B77" s="234"/>
      <c r="C77" s="216"/>
      <c r="D77" s="205" t="s">
        <v>377</v>
      </c>
      <c r="E77" s="85" t="s">
        <v>768</v>
      </c>
      <c r="F77" s="217">
        <v>4</v>
      </c>
      <c r="G77" s="208" t="s">
        <v>378</v>
      </c>
      <c r="H77" s="202"/>
      <c r="I77" s="86" t="s">
        <v>768</v>
      </c>
      <c r="J77" s="209">
        <v>5</v>
      </c>
      <c r="K77" s="210" t="s">
        <v>623</v>
      </c>
      <c r="L77" s="211"/>
      <c r="M77" s="86" t="s">
        <v>768</v>
      </c>
      <c r="N77" s="209">
        <v>6</v>
      </c>
      <c r="O77" s="210" t="s">
        <v>379</v>
      </c>
      <c r="P77" s="211"/>
      <c r="Q77" s="212"/>
      <c r="R77" s="774"/>
      <c r="T77" s="303" t="str">
        <f>IF(E77="■","041104","")</f>
        <v/>
      </c>
      <c r="U77" s="304" t="str">
        <f>IF(I77="■","041105","")</f>
        <v/>
      </c>
      <c r="V77" s="323" t="str">
        <f>IF(M77="■","041106","")</f>
        <v/>
      </c>
    </row>
    <row r="78" spans="1:22">
      <c r="A78" s="220"/>
      <c r="B78" s="221"/>
      <c r="C78" s="216"/>
      <c r="D78" s="205"/>
      <c r="E78" s="85" t="s">
        <v>768</v>
      </c>
      <c r="F78" s="217">
        <v>7</v>
      </c>
      <c r="G78" s="208" t="s">
        <v>380</v>
      </c>
      <c r="H78" s="202"/>
      <c r="I78" s="86" t="s">
        <v>768</v>
      </c>
      <c r="J78" s="209">
        <v>8</v>
      </c>
      <c r="K78" s="257" t="s">
        <v>59</v>
      </c>
      <c r="L78" s="211"/>
      <c r="M78" s="86" t="s">
        <v>768</v>
      </c>
      <c r="N78" s="209">
        <v>9</v>
      </c>
      <c r="O78" s="256" t="s">
        <v>580</v>
      </c>
      <c r="P78" s="211"/>
      <c r="Q78" s="212"/>
      <c r="R78" s="774"/>
      <c r="T78" s="303" t="str">
        <f>IF(E78="■","041107","")</f>
        <v/>
      </c>
      <c r="U78" s="304" t="str">
        <f>IF(I78="■","041108","")</f>
        <v/>
      </c>
      <c r="V78" s="323" t="str">
        <f>IF(M78="■","041109","")</f>
        <v/>
      </c>
    </row>
    <row r="79" spans="1:22">
      <c r="A79" s="248"/>
      <c r="B79" s="249"/>
      <c r="C79" s="226"/>
      <c r="D79" s="227"/>
      <c r="E79" s="105" t="s">
        <v>768</v>
      </c>
      <c r="F79" s="228">
        <v>99</v>
      </c>
      <c r="G79" s="250" t="s">
        <v>374</v>
      </c>
      <c r="H79" s="230"/>
      <c r="I79" s="231" t="s">
        <v>50</v>
      </c>
      <c r="J79" s="778"/>
      <c r="K79" s="778"/>
      <c r="L79" s="778"/>
      <c r="M79" s="778"/>
      <c r="N79" s="778"/>
      <c r="O79" s="778"/>
      <c r="P79" s="778"/>
      <c r="Q79" s="232" t="s">
        <v>51</v>
      </c>
      <c r="R79" s="233" t="str">
        <f>IF(E79="■","←必須","")</f>
        <v/>
      </c>
      <c r="S79" s="251"/>
      <c r="T79" s="305" t="str">
        <f>IF(E79="■","041199","")</f>
        <v/>
      </c>
      <c r="U79" s="306"/>
      <c r="V79" s="324"/>
    </row>
    <row r="80" spans="1:22">
      <c r="A80" s="252">
        <v>5</v>
      </c>
      <c r="B80" s="783" t="s">
        <v>381</v>
      </c>
      <c r="C80" s="235">
        <v>1</v>
      </c>
      <c r="D80" s="236" t="s">
        <v>382</v>
      </c>
      <c r="E80" s="85" t="s">
        <v>768</v>
      </c>
      <c r="F80" s="237">
        <v>1</v>
      </c>
      <c r="G80" s="254" t="s">
        <v>383</v>
      </c>
      <c r="H80" s="239"/>
      <c r="I80" s="106" t="s">
        <v>768</v>
      </c>
      <c r="J80" s="240">
        <v>2</v>
      </c>
      <c r="K80" s="241" t="s">
        <v>384</v>
      </c>
      <c r="L80" s="242"/>
      <c r="M80" s="106" t="s">
        <v>768</v>
      </c>
      <c r="N80" s="240">
        <v>3</v>
      </c>
      <c r="O80" s="241" t="s">
        <v>385</v>
      </c>
      <c r="P80" s="242"/>
      <c r="Q80" s="244"/>
      <c r="R80" s="774"/>
      <c r="S80" s="251"/>
      <c r="T80" s="301" t="str">
        <f>IF(E80="■","050101","")</f>
        <v/>
      </c>
      <c r="U80" s="302" t="str">
        <f>IF(I80="■","050102","")</f>
        <v/>
      </c>
      <c r="V80" s="322" t="str">
        <f>IF(M80="■","050103","")</f>
        <v/>
      </c>
    </row>
    <row r="81" spans="1:22">
      <c r="A81" s="220"/>
      <c r="B81" s="784"/>
      <c r="C81" s="216"/>
      <c r="D81" s="205"/>
      <c r="E81" s="85" t="s">
        <v>768</v>
      </c>
      <c r="F81" s="217">
        <v>4</v>
      </c>
      <c r="G81" s="208" t="s">
        <v>386</v>
      </c>
      <c r="H81" s="202"/>
      <c r="I81" s="86" t="s">
        <v>768</v>
      </c>
      <c r="J81" s="209">
        <v>5</v>
      </c>
      <c r="K81" s="210" t="s">
        <v>387</v>
      </c>
      <c r="L81" s="211"/>
      <c r="M81" s="86" t="s">
        <v>768</v>
      </c>
      <c r="N81" s="209">
        <v>6</v>
      </c>
      <c r="O81" s="210" t="s">
        <v>388</v>
      </c>
      <c r="P81" s="211"/>
      <c r="Q81" s="212"/>
      <c r="R81" s="774"/>
      <c r="T81" s="303" t="str">
        <f>IF(E81="■","050104","")</f>
        <v/>
      </c>
      <c r="U81" s="304" t="str">
        <f>IF(I81="■","050105","")</f>
        <v/>
      </c>
      <c r="V81" s="323" t="str">
        <f>IF(M81="■","050106","")</f>
        <v/>
      </c>
    </row>
    <row r="82" spans="1:22">
      <c r="A82" s="220"/>
      <c r="B82" s="221"/>
      <c r="C82" s="216"/>
      <c r="D82" s="222"/>
      <c r="E82" s="85" t="s">
        <v>768</v>
      </c>
      <c r="F82" s="217">
        <v>7</v>
      </c>
      <c r="G82" s="208" t="s">
        <v>389</v>
      </c>
      <c r="H82" s="202"/>
      <c r="I82" s="86" t="s">
        <v>768</v>
      </c>
      <c r="J82" s="209">
        <v>8</v>
      </c>
      <c r="K82" s="210" t="s">
        <v>390</v>
      </c>
      <c r="L82" s="211"/>
      <c r="M82" s="86" t="s">
        <v>768</v>
      </c>
      <c r="N82" s="209">
        <v>9</v>
      </c>
      <c r="O82" s="210" t="s">
        <v>391</v>
      </c>
      <c r="P82" s="211"/>
      <c r="Q82" s="212"/>
      <c r="R82" s="774"/>
      <c r="S82" s="187"/>
      <c r="T82" s="303" t="str">
        <f>IF(E82="■","050107","")</f>
        <v/>
      </c>
      <c r="U82" s="304" t="str">
        <f>IF(I82="■","050108","")</f>
        <v/>
      </c>
      <c r="V82" s="323" t="str">
        <f>IF(M82="■","050109","")</f>
        <v/>
      </c>
    </row>
    <row r="83" spans="1:22" ht="12" customHeight="1">
      <c r="A83" s="220"/>
      <c r="B83" s="221"/>
      <c r="C83" s="226"/>
      <c r="D83" s="227"/>
      <c r="E83" s="105" t="s">
        <v>768</v>
      </c>
      <c r="F83" s="228">
        <v>99</v>
      </c>
      <c r="G83" s="250" t="s">
        <v>392</v>
      </c>
      <c r="H83" s="230"/>
      <c r="I83" s="231" t="s">
        <v>50</v>
      </c>
      <c r="J83" s="778"/>
      <c r="K83" s="778"/>
      <c r="L83" s="778"/>
      <c r="M83" s="778"/>
      <c r="N83" s="778"/>
      <c r="O83" s="778"/>
      <c r="P83" s="778"/>
      <c r="Q83" s="232" t="s">
        <v>51</v>
      </c>
      <c r="R83" s="233" t="str">
        <f>IF(E83="■","←必須","")</f>
        <v/>
      </c>
      <c r="S83" s="251"/>
      <c r="T83" s="305" t="str">
        <f>IF(E83="■","050199","")</f>
        <v/>
      </c>
      <c r="U83" s="306"/>
      <c r="V83" s="324"/>
    </row>
    <row r="84" spans="1:22">
      <c r="A84" s="220"/>
      <c r="B84" s="234"/>
      <c r="C84" s="235">
        <v>2</v>
      </c>
      <c r="D84" s="236" t="s">
        <v>60</v>
      </c>
      <c r="E84" s="85" t="s">
        <v>768</v>
      </c>
      <c r="F84" s="237">
        <v>1</v>
      </c>
      <c r="G84" s="254" t="s">
        <v>393</v>
      </c>
      <c r="H84" s="239"/>
      <c r="I84" s="106" t="s">
        <v>768</v>
      </c>
      <c r="J84" s="240">
        <v>2</v>
      </c>
      <c r="K84" s="241" t="s">
        <v>394</v>
      </c>
      <c r="L84" s="242"/>
      <c r="M84" s="106" t="s">
        <v>768</v>
      </c>
      <c r="N84" s="240">
        <v>3</v>
      </c>
      <c r="O84" s="241" t="s">
        <v>395</v>
      </c>
      <c r="P84" s="242"/>
      <c r="Q84" s="244"/>
      <c r="R84" s="774"/>
      <c r="S84" s="251"/>
      <c r="T84" s="301" t="str">
        <f>IF(E84="■","050201","")</f>
        <v/>
      </c>
      <c r="U84" s="302" t="str">
        <f>IF(I84="■","050202","")</f>
        <v/>
      </c>
      <c r="V84" s="322" t="str">
        <f>IF(M84="■","050203","")</f>
        <v/>
      </c>
    </row>
    <row r="85" spans="1:22">
      <c r="A85" s="220"/>
      <c r="B85" s="234"/>
      <c r="C85" s="216"/>
      <c r="D85" s="205"/>
      <c r="E85" s="85" t="s">
        <v>768</v>
      </c>
      <c r="F85" s="217">
        <v>4</v>
      </c>
      <c r="G85" s="208" t="s">
        <v>396</v>
      </c>
      <c r="H85" s="202"/>
      <c r="I85" s="86" t="s">
        <v>768</v>
      </c>
      <c r="J85" s="209">
        <v>5</v>
      </c>
      <c r="K85" s="210" t="s">
        <v>397</v>
      </c>
      <c r="L85" s="211"/>
      <c r="M85" s="86" t="s">
        <v>768</v>
      </c>
      <c r="N85" s="209">
        <v>6</v>
      </c>
      <c r="O85" s="210" t="s">
        <v>398</v>
      </c>
      <c r="P85" s="211"/>
      <c r="Q85" s="212"/>
      <c r="R85" s="774"/>
      <c r="S85" s="187"/>
      <c r="T85" s="303" t="str">
        <f>IF(E85="■","050204","")</f>
        <v/>
      </c>
      <c r="U85" s="304" t="str">
        <f>IF(I85="■","050205","")</f>
        <v/>
      </c>
      <c r="V85" s="323" t="str">
        <f>IF(M85="■","050206","")</f>
        <v/>
      </c>
    </row>
    <row r="86" spans="1:22">
      <c r="A86" s="220"/>
      <c r="B86" s="221"/>
      <c r="C86" s="216"/>
      <c r="D86" s="222"/>
      <c r="E86" s="259" t="b">
        <v>0</v>
      </c>
      <c r="F86" s="217"/>
      <c r="G86" s="208"/>
      <c r="H86" s="202"/>
      <c r="I86" s="247" t="b">
        <v>0</v>
      </c>
      <c r="J86" s="209"/>
      <c r="K86" s="210"/>
      <c r="L86" s="211"/>
      <c r="M86" s="225" t="b">
        <v>0</v>
      </c>
      <c r="N86" s="209"/>
      <c r="O86" s="210"/>
      <c r="P86" s="211"/>
      <c r="Q86" s="212"/>
      <c r="R86" s="774"/>
      <c r="S86" s="187"/>
      <c r="T86" s="303"/>
      <c r="U86" s="304"/>
      <c r="V86" s="323"/>
    </row>
    <row r="87" spans="1:22">
      <c r="A87" s="220"/>
      <c r="B87" s="221"/>
      <c r="C87" s="226"/>
      <c r="D87" s="227"/>
      <c r="E87" s="105" t="s">
        <v>768</v>
      </c>
      <c r="F87" s="228">
        <v>99</v>
      </c>
      <c r="G87" s="250" t="s">
        <v>399</v>
      </c>
      <c r="H87" s="230"/>
      <c r="I87" s="231" t="s">
        <v>50</v>
      </c>
      <c r="J87" s="778"/>
      <c r="K87" s="778"/>
      <c r="L87" s="778"/>
      <c r="M87" s="778"/>
      <c r="N87" s="778"/>
      <c r="O87" s="778"/>
      <c r="P87" s="778"/>
      <c r="Q87" s="232" t="s">
        <v>51</v>
      </c>
      <c r="R87" s="233" t="str">
        <f>IF(E87="■","←必須","")</f>
        <v/>
      </c>
      <c r="S87" s="251"/>
      <c r="T87" s="305" t="str">
        <f>IF(E87="■","050299","")</f>
        <v/>
      </c>
      <c r="U87" s="306"/>
      <c r="V87" s="324"/>
    </row>
    <row r="88" spans="1:22">
      <c r="A88" s="220"/>
      <c r="B88" s="234"/>
      <c r="C88" s="235">
        <v>3</v>
      </c>
      <c r="D88" s="236" t="s">
        <v>223</v>
      </c>
      <c r="E88" s="85" t="s">
        <v>768</v>
      </c>
      <c r="F88" s="237">
        <v>1</v>
      </c>
      <c r="G88" s="254" t="s">
        <v>400</v>
      </c>
      <c r="H88" s="239"/>
      <c r="I88" s="106" t="s">
        <v>768</v>
      </c>
      <c r="J88" s="240">
        <v>2</v>
      </c>
      <c r="K88" s="241" t="s">
        <v>401</v>
      </c>
      <c r="L88" s="242"/>
      <c r="M88" s="106" t="s">
        <v>768</v>
      </c>
      <c r="N88" s="240">
        <v>3</v>
      </c>
      <c r="O88" s="243" t="s">
        <v>62</v>
      </c>
      <c r="P88" s="242"/>
      <c r="Q88" s="244"/>
      <c r="R88" s="774"/>
      <c r="S88" s="251"/>
      <c r="T88" s="301" t="str">
        <f>IF(E88="■","050301","")</f>
        <v/>
      </c>
      <c r="U88" s="302" t="str">
        <f>IF(I88="■","050302","")</f>
        <v/>
      </c>
      <c r="V88" s="322" t="str">
        <f>IF(M88="■","050303","")</f>
        <v/>
      </c>
    </row>
    <row r="89" spans="1:22">
      <c r="A89" s="220"/>
      <c r="B89" s="234"/>
      <c r="C89" s="216"/>
      <c r="D89" s="205" t="s">
        <v>624</v>
      </c>
      <c r="E89" s="85" t="s">
        <v>768</v>
      </c>
      <c r="F89" s="217">
        <v>4</v>
      </c>
      <c r="G89" s="245" t="s">
        <v>61</v>
      </c>
      <c r="H89" s="202"/>
      <c r="I89" s="86" t="s">
        <v>768</v>
      </c>
      <c r="J89" s="209">
        <v>5</v>
      </c>
      <c r="K89" s="210" t="s">
        <v>402</v>
      </c>
      <c r="L89" s="211"/>
      <c r="M89" s="86" t="s">
        <v>768</v>
      </c>
      <c r="N89" s="209">
        <v>6</v>
      </c>
      <c r="O89" s="210" t="s">
        <v>403</v>
      </c>
      <c r="P89" s="211"/>
      <c r="Q89" s="212"/>
      <c r="R89" s="774"/>
      <c r="S89" s="187"/>
      <c r="T89" s="303" t="str">
        <f>IF(E89="■","050304","")</f>
        <v/>
      </c>
      <c r="U89" s="304" t="str">
        <f>IF(I89="■","050305","")</f>
        <v/>
      </c>
      <c r="V89" s="323" t="str">
        <f>IF(M89="■","050306","")</f>
        <v/>
      </c>
    </row>
    <row r="90" spans="1:22">
      <c r="A90" s="220"/>
      <c r="B90" s="221"/>
      <c r="C90" s="216"/>
      <c r="D90" s="222"/>
      <c r="E90" s="259" t="b">
        <v>0</v>
      </c>
      <c r="F90" s="217"/>
      <c r="G90" s="208"/>
      <c r="H90" s="202"/>
      <c r="I90" s="247"/>
      <c r="J90" s="209"/>
      <c r="K90" s="210"/>
      <c r="L90" s="211"/>
      <c r="M90" s="225"/>
      <c r="N90" s="209"/>
      <c r="O90" s="210"/>
      <c r="P90" s="211"/>
      <c r="Q90" s="212"/>
      <c r="R90" s="774"/>
      <c r="S90" s="187"/>
      <c r="T90" s="303"/>
      <c r="U90" s="304"/>
      <c r="V90" s="323"/>
    </row>
    <row r="91" spans="1:22">
      <c r="A91" s="248"/>
      <c r="B91" s="249"/>
      <c r="C91" s="226"/>
      <c r="D91" s="227"/>
      <c r="E91" s="105" t="s">
        <v>768</v>
      </c>
      <c r="F91" s="228">
        <v>99</v>
      </c>
      <c r="G91" s="250" t="s">
        <v>404</v>
      </c>
      <c r="H91" s="230"/>
      <c r="I91" s="231" t="s">
        <v>50</v>
      </c>
      <c r="J91" s="778"/>
      <c r="K91" s="778"/>
      <c r="L91" s="778"/>
      <c r="M91" s="778"/>
      <c r="N91" s="778"/>
      <c r="O91" s="778"/>
      <c r="P91" s="778"/>
      <c r="Q91" s="232" t="s">
        <v>51</v>
      </c>
      <c r="R91" s="233" t="str">
        <f>IF(E91="■","←必須","")</f>
        <v/>
      </c>
      <c r="S91" s="251"/>
      <c r="T91" s="305" t="str">
        <f>IF(E91="■","050399","")</f>
        <v/>
      </c>
      <c r="U91" s="306"/>
      <c r="V91" s="324"/>
    </row>
    <row r="92" spans="1:22">
      <c r="A92" s="252">
        <v>6</v>
      </c>
      <c r="B92" s="253" t="s">
        <v>252</v>
      </c>
      <c r="C92" s="235">
        <v>1</v>
      </c>
      <c r="D92" s="236" t="s">
        <v>405</v>
      </c>
      <c r="E92" s="85" t="s">
        <v>768</v>
      </c>
      <c r="F92" s="237">
        <v>1</v>
      </c>
      <c r="G92" s="254" t="s">
        <v>406</v>
      </c>
      <c r="H92" s="239"/>
      <c r="I92" s="106" t="s">
        <v>768</v>
      </c>
      <c r="J92" s="240">
        <v>2</v>
      </c>
      <c r="K92" s="241" t="s">
        <v>407</v>
      </c>
      <c r="L92" s="242"/>
      <c r="M92" s="106" t="s">
        <v>768</v>
      </c>
      <c r="N92" s="240">
        <v>3</v>
      </c>
      <c r="O92" s="241" t="s">
        <v>625</v>
      </c>
      <c r="P92" s="242"/>
      <c r="Q92" s="244"/>
      <c r="R92" s="774"/>
      <c r="S92" s="251"/>
      <c r="T92" s="301" t="str">
        <f>IF(E92="■","060101","")</f>
        <v/>
      </c>
      <c r="U92" s="302" t="str">
        <f>IF(I92="■","060102","")</f>
        <v/>
      </c>
      <c r="V92" s="322" t="str">
        <f>IF(M92="■","060103","")</f>
        <v/>
      </c>
    </row>
    <row r="93" spans="1:22">
      <c r="A93" s="220"/>
      <c r="B93" s="234"/>
      <c r="C93" s="216"/>
      <c r="D93" s="205"/>
      <c r="E93" s="85" t="s">
        <v>768</v>
      </c>
      <c r="F93" s="217">
        <v>4</v>
      </c>
      <c r="G93" s="208" t="s">
        <v>408</v>
      </c>
      <c r="H93" s="202"/>
      <c r="I93" s="86" t="s">
        <v>768</v>
      </c>
      <c r="J93" s="209">
        <v>5</v>
      </c>
      <c r="K93" s="210" t="s">
        <v>409</v>
      </c>
      <c r="L93" s="211"/>
      <c r="M93" s="86" t="s">
        <v>768</v>
      </c>
      <c r="N93" s="209">
        <v>6</v>
      </c>
      <c r="O93" s="210" t="s">
        <v>410</v>
      </c>
      <c r="P93" s="211"/>
      <c r="Q93" s="212"/>
      <c r="R93" s="774"/>
      <c r="S93" s="187"/>
      <c r="T93" s="303" t="str">
        <f>IF(E93="■","060104","")</f>
        <v/>
      </c>
      <c r="U93" s="304" t="str">
        <f>IF(I93="■","060105","")</f>
        <v/>
      </c>
      <c r="V93" s="323" t="str">
        <f>IF(M93="■","060106","")</f>
        <v/>
      </c>
    </row>
    <row r="94" spans="1:22">
      <c r="A94" s="220"/>
      <c r="B94" s="221"/>
      <c r="C94" s="216"/>
      <c r="D94" s="222"/>
      <c r="E94" s="85" t="s">
        <v>768</v>
      </c>
      <c r="F94" s="217">
        <v>7</v>
      </c>
      <c r="G94" s="208" t="s">
        <v>411</v>
      </c>
      <c r="H94" s="202"/>
      <c r="I94" s="86" t="s">
        <v>768</v>
      </c>
      <c r="J94" s="209">
        <v>8</v>
      </c>
      <c r="K94" s="210" t="s">
        <v>412</v>
      </c>
      <c r="L94" s="211"/>
      <c r="M94" s="86" t="s">
        <v>768</v>
      </c>
      <c r="N94" s="209">
        <v>9</v>
      </c>
      <c r="O94" s="210" t="s">
        <v>413</v>
      </c>
      <c r="P94" s="211"/>
      <c r="Q94" s="212"/>
      <c r="R94" s="774"/>
      <c r="S94" s="187"/>
      <c r="T94" s="303" t="str">
        <f>IF(E94="■","060107","")</f>
        <v/>
      </c>
      <c r="U94" s="304" t="str">
        <f>IF(I94="■","060108","")</f>
        <v/>
      </c>
      <c r="V94" s="323" t="str">
        <f>IF(M94="■","060109","")</f>
        <v/>
      </c>
    </row>
    <row r="95" spans="1:22">
      <c r="A95" s="220"/>
      <c r="B95" s="221"/>
      <c r="C95" s="226"/>
      <c r="D95" s="227"/>
      <c r="E95" s="105" t="s">
        <v>768</v>
      </c>
      <c r="F95" s="228">
        <v>99</v>
      </c>
      <c r="G95" s="250" t="s">
        <v>414</v>
      </c>
      <c r="H95" s="230"/>
      <c r="I95" s="231" t="s">
        <v>50</v>
      </c>
      <c r="J95" s="778"/>
      <c r="K95" s="778"/>
      <c r="L95" s="778"/>
      <c r="M95" s="778"/>
      <c r="N95" s="778"/>
      <c r="O95" s="778"/>
      <c r="P95" s="778"/>
      <c r="Q95" s="232" t="s">
        <v>51</v>
      </c>
      <c r="R95" s="233" t="str">
        <f>IF(E95="■","←必須","")</f>
        <v/>
      </c>
      <c r="S95" s="251"/>
      <c r="T95" s="305" t="str">
        <f>IF(E95="■","060199","")</f>
        <v/>
      </c>
      <c r="U95" s="306"/>
      <c r="V95" s="324"/>
    </row>
    <row r="96" spans="1:22">
      <c r="A96" s="220"/>
      <c r="B96" s="234"/>
      <c r="C96" s="235">
        <v>2</v>
      </c>
      <c r="D96" s="236" t="s">
        <v>98</v>
      </c>
      <c r="E96" s="85" t="s">
        <v>768</v>
      </c>
      <c r="F96" s="237">
        <v>1</v>
      </c>
      <c r="G96" s="254" t="s">
        <v>415</v>
      </c>
      <c r="H96" s="239"/>
      <c r="I96" s="106" t="s">
        <v>768</v>
      </c>
      <c r="J96" s="240">
        <v>2</v>
      </c>
      <c r="K96" s="241" t="s">
        <v>416</v>
      </c>
      <c r="L96" s="242"/>
      <c r="M96" s="106" t="s">
        <v>768</v>
      </c>
      <c r="N96" s="240">
        <v>3</v>
      </c>
      <c r="O96" s="241" t="s">
        <v>626</v>
      </c>
      <c r="P96" s="242"/>
      <c r="Q96" s="244"/>
      <c r="R96" s="774"/>
      <c r="S96" s="251"/>
      <c r="T96" s="301" t="str">
        <f>IF(E96="■","060201","")</f>
        <v/>
      </c>
      <c r="U96" s="302" t="str">
        <f>IF(I96="■","060202","")</f>
        <v/>
      </c>
      <c r="V96" s="322" t="str">
        <f>IF(M96="■","060203","")</f>
        <v/>
      </c>
    </row>
    <row r="97" spans="1:22">
      <c r="A97" s="220"/>
      <c r="B97" s="234"/>
      <c r="C97" s="216"/>
      <c r="D97" s="205"/>
      <c r="E97" s="85" t="s">
        <v>768</v>
      </c>
      <c r="F97" s="217">
        <v>4</v>
      </c>
      <c r="G97" s="208" t="s">
        <v>417</v>
      </c>
      <c r="H97" s="202"/>
      <c r="I97" s="86" t="s">
        <v>768</v>
      </c>
      <c r="J97" s="209">
        <v>5</v>
      </c>
      <c r="K97" s="210" t="s">
        <v>418</v>
      </c>
      <c r="L97" s="211"/>
      <c r="M97" s="86" t="s">
        <v>768</v>
      </c>
      <c r="N97" s="209">
        <v>6</v>
      </c>
      <c r="O97" s="210" t="s">
        <v>627</v>
      </c>
      <c r="P97" s="211"/>
      <c r="Q97" s="212"/>
      <c r="R97" s="774"/>
      <c r="S97" s="187"/>
      <c r="T97" s="303" t="str">
        <f>IF(E97="■","060204","")</f>
        <v/>
      </c>
      <c r="U97" s="304" t="str">
        <f>IF(I97="■","060205","")</f>
        <v/>
      </c>
      <c r="V97" s="323" t="str">
        <f>IF(M97="■","060206","")</f>
        <v/>
      </c>
    </row>
    <row r="98" spans="1:22">
      <c r="A98" s="220"/>
      <c r="B98" s="221"/>
      <c r="C98" s="216"/>
      <c r="D98" s="222"/>
      <c r="E98" s="85" t="s">
        <v>768</v>
      </c>
      <c r="F98" s="217">
        <v>7</v>
      </c>
      <c r="G98" s="245" t="s">
        <v>99</v>
      </c>
      <c r="H98" s="202"/>
      <c r="I98" s="247" t="b">
        <v>0</v>
      </c>
      <c r="J98" s="209"/>
      <c r="K98" s="210"/>
      <c r="L98" s="211"/>
      <c r="M98" s="225" t="b">
        <v>0</v>
      </c>
      <c r="N98" s="209"/>
      <c r="O98" s="210"/>
      <c r="P98" s="211"/>
      <c r="Q98" s="212"/>
      <c r="R98" s="774"/>
      <c r="T98" s="303" t="str">
        <f>IF(E98="■","060207","")</f>
        <v/>
      </c>
      <c r="U98" s="304" t="str">
        <f>IF(I98="■","060208","")</f>
        <v/>
      </c>
      <c r="V98" s="323" t="str">
        <f>IF(M98="■","060209","")</f>
        <v/>
      </c>
    </row>
    <row r="99" spans="1:22">
      <c r="A99" s="220"/>
      <c r="B99" s="221"/>
      <c r="C99" s="226"/>
      <c r="D99" s="227"/>
      <c r="E99" s="105" t="s">
        <v>768</v>
      </c>
      <c r="F99" s="228">
        <v>99</v>
      </c>
      <c r="G99" s="250" t="s">
        <v>419</v>
      </c>
      <c r="H99" s="230"/>
      <c r="I99" s="231" t="s">
        <v>50</v>
      </c>
      <c r="J99" s="778"/>
      <c r="K99" s="778"/>
      <c r="L99" s="778"/>
      <c r="M99" s="778"/>
      <c r="N99" s="778"/>
      <c r="O99" s="778"/>
      <c r="P99" s="778"/>
      <c r="Q99" s="232" t="s">
        <v>51</v>
      </c>
      <c r="R99" s="233" t="str">
        <f>IF(E99="■","←必須","")</f>
        <v/>
      </c>
      <c r="S99" s="251"/>
      <c r="T99" s="305" t="str">
        <f>IF(E99="■","060299","")</f>
        <v/>
      </c>
      <c r="U99" s="306"/>
      <c r="V99" s="324"/>
    </row>
    <row r="100" spans="1:22">
      <c r="A100" s="220"/>
      <c r="B100" s="234"/>
      <c r="C100" s="235">
        <v>3</v>
      </c>
      <c r="D100" s="236" t="s">
        <v>224</v>
      </c>
      <c r="E100" s="85" t="s">
        <v>768</v>
      </c>
      <c r="F100" s="237">
        <v>1</v>
      </c>
      <c r="G100" s="254" t="s">
        <v>420</v>
      </c>
      <c r="H100" s="239"/>
      <c r="I100" s="106" t="s">
        <v>768</v>
      </c>
      <c r="J100" s="240">
        <v>2</v>
      </c>
      <c r="K100" s="241" t="s">
        <v>421</v>
      </c>
      <c r="L100" s="242"/>
      <c r="M100" s="106" t="s">
        <v>768</v>
      </c>
      <c r="N100" s="240">
        <v>3</v>
      </c>
      <c r="O100" s="241" t="s">
        <v>422</v>
      </c>
      <c r="P100" s="242"/>
      <c r="Q100" s="244"/>
      <c r="R100" s="774"/>
      <c r="S100" s="251"/>
      <c r="T100" s="301" t="str">
        <f>IF(E100="■","060301","")</f>
        <v/>
      </c>
      <c r="U100" s="302" t="str">
        <f>IF(I100="■","060302","")</f>
        <v/>
      </c>
      <c r="V100" s="322" t="str">
        <f>IF(M100="■","060303","")</f>
        <v/>
      </c>
    </row>
    <row r="101" spans="1:22">
      <c r="A101" s="220"/>
      <c r="B101" s="234"/>
      <c r="C101" s="216"/>
      <c r="D101" s="205" t="s">
        <v>628</v>
      </c>
      <c r="E101" s="85" t="s">
        <v>768</v>
      </c>
      <c r="F101" s="217">
        <v>4</v>
      </c>
      <c r="G101" s="208" t="s">
        <v>423</v>
      </c>
      <c r="H101" s="202"/>
      <c r="I101" s="86" t="s">
        <v>768</v>
      </c>
      <c r="J101" s="209">
        <v>5</v>
      </c>
      <c r="K101" s="257" t="s">
        <v>100</v>
      </c>
      <c r="L101" s="211"/>
      <c r="M101" s="86" t="s">
        <v>768</v>
      </c>
      <c r="N101" s="209">
        <v>6</v>
      </c>
      <c r="O101" s="256" t="s">
        <v>581</v>
      </c>
      <c r="P101" s="211"/>
      <c r="Q101" s="212"/>
      <c r="R101" s="774"/>
      <c r="T101" s="303" t="str">
        <f>IF(E101="■","060304","")</f>
        <v/>
      </c>
      <c r="U101" s="304" t="str">
        <f>IF(I101="■","060305","")</f>
        <v/>
      </c>
      <c r="V101" s="323" t="str">
        <f>IF(M101="■","060306","")</f>
        <v/>
      </c>
    </row>
    <row r="102" spans="1:22">
      <c r="A102" s="220"/>
      <c r="B102" s="221"/>
      <c r="C102" s="216"/>
      <c r="D102" s="222"/>
      <c r="E102" s="85" t="s">
        <v>768</v>
      </c>
      <c r="F102" s="217">
        <v>7</v>
      </c>
      <c r="G102" s="246" t="s">
        <v>582</v>
      </c>
      <c r="H102" s="202"/>
      <c r="I102" s="86" t="s">
        <v>768</v>
      </c>
      <c r="J102" s="209">
        <v>8</v>
      </c>
      <c r="K102" s="256" t="s">
        <v>583</v>
      </c>
      <c r="L102" s="211"/>
      <c r="M102" s="225" t="b">
        <v>0</v>
      </c>
      <c r="N102" s="209"/>
      <c r="O102" s="210"/>
      <c r="P102" s="211"/>
      <c r="Q102" s="212"/>
      <c r="R102" s="774"/>
      <c r="T102" s="303" t="str">
        <f>IF(E102="■","060307","")</f>
        <v/>
      </c>
      <c r="U102" s="304" t="str">
        <f>IF(I102="■","060308","")</f>
        <v/>
      </c>
      <c r="V102" s="323"/>
    </row>
    <row r="103" spans="1:22">
      <c r="A103" s="248"/>
      <c r="B103" s="249"/>
      <c r="C103" s="226"/>
      <c r="D103" s="227"/>
      <c r="E103" s="105" t="s">
        <v>768</v>
      </c>
      <c r="F103" s="228">
        <v>99</v>
      </c>
      <c r="G103" s="250" t="s">
        <v>424</v>
      </c>
      <c r="H103" s="230"/>
      <c r="I103" s="231" t="s">
        <v>50</v>
      </c>
      <c r="J103" s="778"/>
      <c r="K103" s="778"/>
      <c r="L103" s="778"/>
      <c r="M103" s="778"/>
      <c r="N103" s="778"/>
      <c r="O103" s="778"/>
      <c r="P103" s="778"/>
      <c r="Q103" s="232" t="s">
        <v>51</v>
      </c>
      <c r="R103" s="233" t="str">
        <f>IF(E103="■","←必須","")</f>
        <v/>
      </c>
      <c r="S103" s="251"/>
      <c r="T103" s="305" t="str">
        <f>IF(E103="■","060399","")</f>
        <v/>
      </c>
      <c r="U103" s="306"/>
      <c r="V103" s="324"/>
    </row>
    <row r="104" spans="1:22">
      <c r="A104" s="252">
        <v>7</v>
      </c>
      <c r="B104" s="253" t="s">
        <v>253</v>
      </c>
      <c r="C104" s="235">
        <v>1</v>
      </c>
      <c r="D104" s="236" t="s">
        <v>253</v>
      </c>
      <c r="E104" s="85" t="s">
        <v>768</v>
      </c>
      <c r="F104" s="237">
        <v>1</v>
      </c>
      <c r="G104" s="254" t="s">
        <v>629</v>
      </c>
      <c r="H104" s="239"/>
      <c r="I104" s="106" t="s">
        <v>768</v>
      </c>
      <c r="J104" s="240">
        <v>2</v>
      </c>
      <c r="K104" s="241" t="s">
        <v>425</v>
      </c>
      <c r="L104" s="242"/>
      <c r="M104" s="106" t="s">
        <v>768</v>
      </c>
      <c r="N104" s="240">
        <v>3</v>
      </c>
      <c r="O104" s="241" t="s">
        <v>426</v>
      </c>
      <c r="P104" s="242"/>
      <c r="Q104" s="244"/>
      <c r="R104" s="774"/>
      <c r="S104" s="251"/>
      <c r="T104" s="301" t="str">
        <f>IF(E104="■","070101","")</f>
        <v/>
      </c>
      <c r="U104" s="302" t="str">
        <f>IF(I104="■","070102","")</f>
        <v/>
      </c>
      <c r="V104" s="322" t="str">
        <f>IF(M104="■","070103","")</f>
        <v/>
      </c>
    </row>
    <row r="105" spans="1:22">
      <c r="A105" s="220"/>
      <c r="B105" s="234"/>
      <c r="C105" s="216"/>
      <c r="D105" s="205"/>
      <c r="E105" s="85" t="s">
        <v>768</v>
      </c>
      <c r="F105" s="217">
        <v>4</v>
      </c>
      <c r="G105" s="208" t="s">
        <v>427</v>
      </c>
      <c r="H105" s="202"/>
      <c r="I105" s="86" t="s">
        <v>768</v>
      </c>
      <c r="J105" s="209">
        <v>5</v>
      </c>
      <c r="K105" s="210" t="s">
        <v>428</v>
      </c>
      <c r="L105" s="211"/>
      <c r="M105" s="86" t="s">
        <v>768</v>
      </c>
      <c r="N105" s="209">
        <v>6</v>
      </c>
      <c r="O105" s="210" t="s">
        <v>429</v>
      </c>
      <c r="P105" s="211"/>
      <c r="Q105" s="212"/>
      <c r="R105" s="774"/>
      <c r="T105" s="303" t="str">
        <f>IF(E105="■","070104","")</f>
        <v/>
      </c>
      <c r="U105" s="304" t="str">
        <f>IF(I105="■","070105","")</f>
        <v/>
      </c>
      <c r="V105" s="323" t="str">
        <f>IF(M105="■","070106","")</f>
        <v/>
      </c>
    </row>
    <row r="106" spans="1:22">
      <c r="A106" s="220"/>
      <c r="B106" s="221"/>
      <c r="C106" s="216"/>
      <c r="D106" s="222"/>
      <c r="E106" s="85" t="s">
        <v>768</v>
      </c>
      <c r="F106" s="217">
        <v>7</v>
      </c>
      <c r="G106" s="208" t="s">
        <v>630</v>
      </c>
      <c r="H106" s="202"/>
      <c r="I106" s="86" t="s">
        <v>768</v>
      </c>
      <c r="J106" s="209">
        <v>8</v>
      </c>
      <c r="K106" s="210" t="s">
        <v>567</v>
      </c>
      <c r="L106" s="211"/>
      <c r="M106" s="86" t="s">
        <v>768</v>
      </c>
      <c r="N106" s="209">
        <v>9</v>
      </c>
      <c r="O106" s="210" t="s">
        <v>430</v>
      </c>
      <c r="P106" s="211"/>
      <c r="Q106" s="212"/>
      <c r="R106" s="774"/>
      <c r="T106" s="303" t="str">
        <f>IF(E106="■","070107","")</f>
        <v/>
      </c>
      <c r="U106" s="304" t="str">
        <f>IF(I106="■","070108","")</f>
        <v/>
      </c>
      <c r="V106" s="323" t="str">
        <f>IF(M106="■","070109","")</f>
        <v/>
      </c>
    </row>
    <row r="107" spans="1:22">
      <c r="A107" s="248"/>
      <c r="B107" s="249"/>
      <c r="C107" s="226"/>
      <c r="D107" s="227"/>
      <c r="E107" s="105" t="s">
        <v>768</v>
      </c>
      <c r="F107" s="228">
        <v>99</v>
      </c>
      <c r="G107" s="250" t="s">
        <v>431</v>
      </c>
      <c r="H107" s="230"/>
      <c r="I107" s="231" t="s">
        <v>50</v>
      </c>
      <c r="J107" s="778"/>
      <c r="K107" s="778"/>
      <c r="L107" s="778"/>
      <c r="M107" s="778"/>
      <c r="N107" s="778"/>
      <c r="O107" s="778"/>
      <c r="P107" s="778"/>
      <c r="Q107" s="232" t="s">
        <v>51</v>
      </c>
      <c r="R107" s="233" t="str">
        <f>IF(E107="■","←必須","")</f>
        <v/>
      </c>
      <c r="S107" s="251"/>
      <c r="T107" s="305" t="str">
        <f>IF(E107="■","070199","")</f>
        <v/>
      </c>
      <c r="U107" s="306"/>
      <c r="V107" s="324"/>
    </row>
    <row r="108" spans="1:22">
      <c r="A108" s="252">
        <v>8</v>
      </c>
      <c r="B108" s="785" t="s">
        <v>432</v>
      </c>
      <c r="C108" s="235">
        <v>1</v>
      </c>
      <c r="D108" s="236" t="s">
        <v>433</v>
      </c>
      <c r="E108" s="85" t="s">
        <v>768</v>
      </c>
      <c r="F108" s="237">
        <v>1</v>
      </c>
      <c r="G108" s="254" t="s">
        <v>434</v>
      </c>
      <c r="H108" s="239"/>
      <c r="I108" s="106" t="s">
        <v>768</v>
      </c>
      <c r="J108" s="240">
        <v>2</v>
      </c>
      <c r="K108" s="241" t="s">
        <v>435</v>
      </c>
      <c r="L108" s="242"/>
      <c r="M108" s="106" t="s">
        <v>768</v>
      </c>
      <c r="N108" s="240">
        <v>3</v>
      </c>
      <c r="O108" s="241" t="s">
        <v>568</v>
      </c>
      <c r="P108" s="242"/>
      <c r="Q108" s="244"/>
      <c r="R108" s="774"/>
      <c r="S108" s="251"/>
      <c r="T108" s="301" t="str">
        <f>IF(E108="■","080101","")</f>
        <v/>
      </c>
      <c r="U108" s="302" t="str">
        <f>IF(I108="■","080102","")</f>
        <v/>
      </c>
      <c r="V108" s="322" t="str">
        <f>IF(M108="■","080103","")</f>
        <v/>
      </c>
    </row>
    <row r="109" spans="1:22">
      <c r="A109" s="220"/>
      <c r="B109" s="786"/>
      <c r="C109" s="216"/>
      <c r="D109" s="205"/>
      <c r="E109" s="85" t="s">
        <v>768</v>
      </c>
      <c r="F109" s="217">
        <v>4</v>
      </c>
      <c r="G109" s="208" t="s">
        <v>436</v>
      </c>
      <c r="H109" s="202"/>
      <c r="I109" s="86" t="s">
        <v>768</v>
      </c>
      <c r="J109" s="209">
        <v>5</v>
      </c>
      <c r="K109" s="210" t="s">
        <v>437</v>
      </c>
      <c r="L109" s="211"/>
      <c r="M109" s="86" t="s">
        <v>768</v>
      </c>
      <c r="N109" s="209">
        <v>6</v>
      </c>
      <c r="O109" s="210" t="s">
        <v>438</v>
      </c>
      <c r="P109" s="211"/>
      <c r="Q109" s="212"/>
      <c r="R109" s="774"/>
      <c r="T109" s="303" t="str">
        <f>IF(E109="■","080104","")</f>
        <v/>
      </c>
      <c r="U109" s="304" t="str">
        <f>IF(I109="■","080105","")</f>
        <v/>
      </c>
      <c r="V109" s="323" t="str">
        <f>IF(M109="■","080106","")</f>
        <v/>
      </c>
    </row>
    <row r="110" spans="1:22">
      <c r="A110" s="220"/>
      <c r="B110" s="221"/>
      <c r="C110" s="216"/>
      <c r="D110" s="222"/>
      <c r="E110" s="85" t="s">
        <v>768</v>
      </c>
      <c r="F110" s="217">
        <v>7</v>
      </c>
      <c r="G110" s="246" t="s">
        <v>646</v>
      </c>
      <c r="H110" s="202"/>
      <c r="I110" s="247" t="b">
        <v>0</v>
      </c>
      <c r="J110" s="209"/>
      <c r="K110" s="210"/>
      <c r="L110" s="211"/>
      <c r="M110" s="225" t="b">
        <v>0</v>
      </c>
      <c r="N110" s="209"/>
      <c r="O110" s="210"/>
      <c r="P110" s="211"/>
      <c r="Q110" s="212"/>
      <c r="R110" s="774"/>
      <c r="T110" s="303" t="str">
        <f>IF(E110="■","080107","")</f>
        <v/>
      </c>
      <c r="U110" s="304"/>
      <c r="V110" s="323"/>
    </row>
    <row r="111" spans="1:22">
      <c r="A111" s="220"/>
      <c r="B111" s="221"/>
      <c r="C111" s="226"/>
      <c r="D111" s="227"/>
      <c r="E111" s="105" t="s">
        <v>768</v>
      </c>
      <c r="F111" s="228">
        <v>99</v>
      </c>
      <c r="G111" s="229" t="s">
        <v>439</v>
      </c>
      <c r="H111" s="230"/>
      <c r="I111" s="231" t="s">
        <v>50</v>
      </c>
      <c r="J111" s="778"/>
      <c r="K111" s="778"/>
      <c r="L111" s="778"/>
      <c r="M111" s="778"/>
      <c r="N111" s="778"/>
      <c r="O111" s="778"/>
      <c r="P111" s="778"/>
      <c r="Q111" s="232" t="s">
        <v>51</v>
      </c>
      <c r="R111" s="233" t="str">
        <f>IF(E111="■","←必須","")</f>
        <v/>
      </c>
      <c r="S111" s="251"/>
      <c r="T111" s="305" t="str">
        <f>IF(E111="■","080199","")</f>
        <v/>
      </c>
      <c r="U111" s="306"/>
      <c r="V111" s="324"/>
    </row>
    <row r="112" spans="1:22">
      <c r="A112" s="220"/>
      <c r="B112" s="234"/>
      <c r="C112" s="235">
        <v>2</v>
      </c>
      <c r="D112" s="236" t="s">
        <v>569</v>
      </c>
      <c r="E112" s="85" t="s">
        <v>768</v>
      </c>
      <c r="F112" s="237">
        <v>1</v>
      </c>
      <c r="G112" s="254" t="s">
        <v>440</v>
      </c>
      <c r="H112" s="239"/>
      <c r="I112" s="106" t="s">
        <v>768</v>
      </c>
      <c r="J112" s="240">
        <v>2</v>
      </c>
      <c r="K112" s="241" t="s">
        <v>441</v>
      </c>
      <c r="L112" s="242"/>
      <c r="M112" s="106" t="s">
        <v>768</v>
      </c>
      <c r="N112" s="240">
        <v>3</v>
      </c>
      <c r="O112" s="241" t="s">
        <v>442</v>
      </c>
      <c r="P112" s="242"/>
      <c r="Q112" s="244"/>
      <c r="R112" s="774"/>
      <c r="S112" s="251"/>
      <c r="T112" s="301" t="str">
        <f>IF(E112="■","080201","")</f>
        <v/>
      </c>
      <c r="U112" s="302" t="str">
        <f>IF(I112="■","080202","")</f>
        <v/>
      </c>
      <c r="V112" s="322" t="str">
        <f>IF(M112="■","080203","")</f>
        <v/>
      </c>
    </row>
    <row r="113" spans="1:22">
      <c r="A113" s="220"/>
      <c r="B113" s="234"/>
      <c r="C113" s="216"/>
      <c r="D113" s="205" t="s">
        <v>631</v>
      </c>
      <c r="E113" s="85" t="s">
        <v>768</v>
      </c>
      <c r="F113" s="217">
        <v>4</v>
      </c>
      <c r="G113" s="208" t="s">
        <v>570</v>
      </c>
      <c r="H113" s="202"/>
      <c r="I113" s="86" t="s">
        <v>768</v>
      </c>
      <c r="J113" s="209">
        <v>5</v>
      </c>
      <c r="K113" s="210" t="s">
        <v>443</v>
      </c>
      <c r="L113" s="211"/>
      <c r="M113" s="86" t="s">
        <v>768</v>
      </c>
      <c r="N113" s="209">
        <v>6</v>
      </c>
      <c r="O113" s="210" t="s">
        <v>444</v>
      </c>
      <c r="P113" s="211"/>
      <c r="Q113" s="212"/>
      <c r="R113" s="774"/>
      <c r="T113" s="303" t="str">
        <f>IF(E113="■","080204","")</f>
        <v/>
      </c>
      <c r="U113" s="304" t="str">
        <f>IF(I113="■","080205","")</f>
        <v/>
      </c>
      <c r="V113" s="323" t="str">
        <f>IF(M113="■","080206","")</f>
        <v/>
      </c>
    </row>
    <row r="114" spans="1:22">
      <c r="A114" s="220"/>
      <c r="B114" s="221"/>
      <c r="C114" s="216"/>
      <c r="D114" s="222"/>
      <c r="E114" s="85" t="s">
        <v>768</v>
      </c>
      <c r="F114" s="217">
        <v>7</v>
      </c>
      <c r="G114" s="208" t="s">
        <v>445</v>
      </c>
      <c r="H114" s="202"/>
      <c r="I114" s="86" t="s">
        <v>768</v>
      </c>
      <c r="J114" s="209">
        <v>8</v>
      </c>
      <c r="K114" s="210" t="s">
        <v>446</v>
      </c>
      <c r="L114" s="211"/>
      <c r="M114" s="225" t="b">
        <v>0</v>
      </c>
      <c r="N114" s="209"/>
      <c r="O114" s="210"/>
      <c r="P114" s="211"/>
      <c r="Q114" s="212"/>
      <c r="R114" s="774"/>
      <c r="S114" s="187"/>
      <c r="T114" s="303" t="str">
        <f>IF(E114="■","080207","")</f>
        <v/>
      </c>
      <c r="U114" s="304" t="str">
        <f>IF(I114="■","080208","")</f>
        <v/>
      </c>
      <c r="V114" s="323"/>
    </row>
    <row r="115" spans="1:22">
      <c r="A115" s="220"/>
      <c r="B115" s="221"/>
      <c r="C115" s="226"/>
      <c r="D115" s="227"/>
      <c r="E115" s="105" t="s">
        <v>768</v>
      </c>
      <c r="F115" s="228">
        <v>99</v>
      </c>
      <c r="G115" s="250" t="s">
        <v>447</v>
      </c>
      <c r="H115" s="230"/>
      <c r="I115" s="231" t="s">
        <v>50</v>
      </c>
      <c r="J115" s="778"/>
      <c r="K115" s="778"/>
      <c r="L115" s="778"/>
      <c r="M115" s="778"/>
      <c r="N115" s="778"/>
      <c r="O115" s="778"/>
      <c r="P115" s="778"/>
      <c r="Q115" s="232" t="s">
        <v>51</v>
      </c>
      <c r="R115" s="233" t="str">
        <f>IF(E115="■","←必須","")</f>
        <v/>
      </c>
      <c r="S115" s="251"/>
      <c r="T115" s="305" t="str">
        <f>IF(E115="■","080299","")</f>
        <v/>
      </c>
      <c r="U115" s="306"/>
      <c r="V115" s="324"/>
    </row>
    <row r="116" spans="1:22">
      <c r="A116" s="220"/>
      <c r="B116" s="234"/>
      <c r="C116" s="235">
        <v>3</v>
      </c>
      <c r="D116" s="236" t="s">
        <v>448</v>
      </c>
      <c r="E116" s="85" t="s">
        <v>768</v>
      </c>
      <c r="F116" s="237">
        <v>1</v>
      </c>
      <c r="G116" s="254" t="s">
        <v>449</v>
      </c>
      <c r="H116" s="239"/>
      <c r="I116" s="106" t="s">
        <v>768</v>
      </c>
      <c r="J116" s="240">
        <v>2</v>
      </c>
      <c r="K116" s="241" t="s">
        <v>632</v>
      </c>
      <c r="L116" s="242"/>
      <c r="M116" s="106" t="s">
        <v>768</v>
      </c>
      <c r="N116" s="240">
        <v>3</v>
      </c>
      <c r="O116" s="241" t="s">
        <v>633</v>
      </c>
      <c r="P116" s="242"/>
      <c r="Q116" s="244"/>
      <c r="R116" s="774"/>
      <c r="S116" s="251"/>
      <c r="T116" s="301" t="str">
        <f>IF(E116="■","080301","")</f>
        <v/>
      </c>
      <c r="U116" s="302" t="str">
        <f>IF(I116="■","080302","")</f>
        <v/>
      </c>
      <c r="V116" s="322" t="str">
        <f>IF(M116="■","080303","")</f>
        <v/>
      </c>
    </row>
    <row r="117" spans="1:22">
      <c r="A117" s="220"/>
      <c r="B117" s="234"/>
      <c r="C117" s="216"/>
      <c r="D117" s="205"/>
      <c r="E117" s="85" t="s">
        <v>768</v>
      </c>
      <c r="F117" s="217">
        <v>4</v>
      </c>
      <c r="G117" s="208" t="s">
        <v>450</v>
      </c>
      <c r="H117" s="202"/>
      <c r="I117" s="86" t="s">
        <v>768</v>
      </c>
      <c r="J117" s="209">
        <v>5</v>
      </c>
      <c r="K117" s="210" t="s">
        <v>634</v>
      </c>
      <c r="L117" s="211"/>
      <c r="M117" s="225" t="b">
        <v>0</v>
      </c>
      <c r="N117" s="209"/>
      <c r="O117" s="210"/>
      <c r="P117" s="211"/>
      <c r="Q117" s="212"/>
      <c r="R117" s="774"/>
      <c r="S117" s="187"/>
      <c r="T117" s="303" t="str">
        <f>IF(E117="■","080304","")</f>
        <v/>
      </c>
      <c r="U117" s="304" t="str">
        <f>IF(I117="■","080305","")</f>
        <v/>
      </c>
      <c r="V117" s="323"/>
    </row>
    <row r="118" spans="1:22">
      <c r="A118" s="220"/>
      <c r="B118" s="221"/>
      <c r="C118" s="216"/>
      <c r="D118" s="222"/>
      <c r="E118" s="259" t="b">
        <v>0</v>
      </c>
      <c r="F118" s="217"/>
      <c r="G118" s="208"/>
      <c r="H118" s="202"/>
      <c r="I118" s="247" t="b">
        <v>0</v>
      </c>
      <c r="J118" s="209"/>
      <c r="K118" s="210"/>
      <c r="L118" s="211"/>
      <c r="M118" s="225" t="b">
        <v>0</v>
      </c>
      <c r="N118" s="209"/>
      <c r="O118" s="210"/>
      <c r="P118" s="211"/>
      <c r="Q118" s="212"/>
      <c r="R118" s="774"/>
      <c r="S118" s="187"/>
      <c r="T118" s="303"/>
      <c r="U118" s="304"/>
      <c r="V118" s="323"/>
    </row>
    <row r="119" spans="1:22">
      <c r="A119" s="220"/>
      <c r="B119" s="221"/>
      <c r="C119" s="226"/>
      <c r="D119" s="227"/>
      <c r="E119" s="105" t="s">
        <v>768</v>
      </c>
      <c r="F119" s="228">
        <v>99</v>
      </c>
      <c r="G119" s="250" t="s">
        <v>451</v>
      </c>
      <c r="H119" s="230"/>
      <c r="I119" s="231" t="s">
        <v>50</v>
      </c>
      <c r="J119" s="778"/>
      <c r="K119" s="778"/>
      <c r="L119" s="778"/>
      <c r="M119" s="778"/>
      <c r="N119" s="778"/>
      <c r="O119" s="778"/>
      <c r="P119" s="778"/>
      <c r="Q119" s="232" t="s">
        <v>51</v>
      </c>
      <c r="R119" s="233" t="str">
        <f>IF(E119="■","←必須","")</f>
        <v/>
      </c>
      <c r="S119" s="251"/>
      <c r="T119" s="305" t="str">
        <f>IF(E119="■","080399","")</f>
        <v/>
      </c>
      <c r="U119" s="306"/>
      <c r="V119" s="324"/>
    </row>
    <row r="120" spans="1:22" ht="15" customHeight="1">
      <c r="A120" s="220"/>
      <c r="B120" s="234"/>
      <c r="C120" s="235">
        <v>4</v>
      </c>
      <c r="D120" s="236" t="s">
        <v>452</v>
      </c>
      <c r="E120" s="85" t="s">
        <v>768</v>
      </c>
      <c r="F120" s="237">
        <v>1</v>
      </c>
      <c r="G120" s="254" t="s">
        <v>453</v>
      </c>
      <c r="H120" s="239"/>
      <c r="I120" s="106" t="s">
        <v>768</v>
      </c>
      <c r="J120" s="240">
        <v>2</v>
      </c>
      <c r="K120" s="241" t="s">
        <v>454</v>
      </c>
      <c r="L120" s="242"/>
      <c r="M120" s="106" t="s">
        <v>768</v>
      </c>
      <c r="N120" s="240">
        <v>3</v>
      </c>
      <c r="O120" s="241" t="s">
        <v>635</v>
      </c>
      <c r="P120" s="242"/>
      <c r="Q120" s="244"/>
      <c r="R120" s="774"/>
      <c r="S120" s="251"/>
      <c r="T120" s="301" t="str">
        <f>IF(E120="■","080401","")</f>
        <v/>
      </c>
      <c r="U120" s="302" t="str">
        <f>IF(I120="■","080402","")</f>
        <v/>
      </c>
      <c r="V120" s="322" t="str">
        <f>IF(M120="■","080403","")</f>
        <v/>
      </c>
    </row>
    <row r="121" spans="1:22">
      <c r="A121" s="220"/>
      <c r="B121" s="234"/>
      <c r="C121" s="216"/>
      <c r="D121" s="205"/>
      <c r="E121" s="85" t="s">
        <v>768</v>
      </c>
      <c r="F121" s="217">
        <v>4</v>
      </c>
      <c r="G121" s="208" t="s">
        <v>455</v>
      </c>
      <c r="H121" s="202"/>
      <c r="I121" s="86" t="s">
        <v>768</v>
      </c>
      <c r="J121" s="209">
        <v>5</v>
      </c>
      <c r="K121" s="210" t="s">
        <v>456</v>
      </c>
      <c r="L121" s="211"/>
      <c r="M121" s="86" t="s">
        <v>768</v>
      </c>
      <c r="N121" s="209">
        <v>6</v>
      </c>
      <c r="O121" s="210" t="s">
        <v>457</v>
      </c>
      <c r="P121" s="211"/>
      <c r="Q121" s="212"/>
      <c r="R121" s="774"/>
      <c r="S121" s="187"/>
      <c r="T121" s="303" t="str">
        <f>IF(E121="■","080404","")</f>
        <v/>
      </c>
      <c r="U121" s="304" t="str">
        <f>IF(I121="■","080405","")</f>
        <v/>
      </c>
      <c r="V121" s="323" t="str">
        <f>IF(M121="■","080406","")</f>
        <v/>
      </c>
    </row>
    <row r="122" spans="1:22">
      <c r="A122" s="220"/>
      <c r="B122" s="221"/>
      <c r="C122" s="216"/>
      <c r="D122" s="222"/>
      <c r="E122" s="85" t="s">
        <v>768</v>
      </c>
      <c r="F122" s="217">
        <v>7</v>
      </c>
      <c r="G122" s="208" t="s">
        <v>458</v>
      </c>
      <c r="H122" s="202"/>
      <c r="I122" s="86" t="s">
        <v>768</v>
      </c>
      <c r="J122" s="209">
        <v>8</v>
      </c>
      <c r="K122" s="210" t="s">
        <v>459</v>
      </c>
      <c r="L122" s="211"/>
      <c r="M122" s="86" t="s">
        <v>768</v>
      </c>
      <c r="N122" s="209">
        <v>9</v>
      </c>
      <c r="O122" s="210" t="s">
        <v>460</v>
      </c>
      <c r="P122" s="211"/>
      <c r="Q122" s="212"/>
      <c r="R122" s="774"/>
      <c r="S122" s="187"/>
      <c r="T122" s="303" t="str">
        <f>IF(E122="■","080407","")</f>
        <v/>
      </c>
      <c r="U122" s="304" t="str">
        <f>IF(I122="■","080408","")</f>
        <v/>
      </c>
      <c r="V122" s="323" t="str">
        <f>IF(M122="■","080409","")</f>
        <v/>
      </c>
    </row>
    <row r="123" spans="1:22">
      <c r="A123" s="220"/>
      <c r="B123" s="221"/>
      <c r="C123" s="226"/>
      <c r="D123" s="227"/>
      <c r="E123" s="105" t="s">
        <v>768</v>
      </c>
      <c r="F123" s="228">
        <v>99</v>
      </c>
      <c r="G123" s="250" t="s">
        <v>461</v>
      </c>
      <c r="H123" s="230"/>
      <c r="I123" s="231" t="s">
        <v>50</v>
      </c>
      <c r="J123" s="778"/>
      <c r="K123" s="778"/>
      <c r="L123" s="778"/>
      <c r="M123" s="778"/>
      <c r="N123" s="778"/>
      <c r="O123" s="778"/>
      <c r="P123" s="778"/>
      <c r="Q123" s="232" t="s">
        <v>51</v>
      </c>
      <c r="R123" s="233" t="str">
        <f>IF(E123="■","←必須","")</f>
        <v/>
      </c>
      <c r="S123" s="251"/>
      <c r="T123" s="305" t="str">
        <f>IF(E123="■","080499","")</f>
        <v/>
      </c>
      <c r="U123" s="306"/>
      <c r="V123" s="324"/>
    </row>
    <row r="124" spans="1:22">
      <c r="A124" s="220"/>
      <c r="B124" s="234"/>
      <c r="C124" s="235">
        <v>5</v>
      </c>
      <c r="D124" s="236" t="s">
        <v>462</v>
      </c>
      <c r="E124" s="85" t="s">
        <v>768</v>
      </c>
      <c r="F124" s="237">
        <v>1</v>
      </c>
      <c r="G124" s="254" t="s">
        <v>463</v>
      </c>
      <c r="H124" s="239"/>
      <c r="I124" s="106" t="s">
        <v>768</v>
      </c>
      <c r="J124" s="240">
        <v>2</v>
      </c>
      <c r="K124" s="241" t="s">
        <v>636</v>
      </c>
      <c r="L124" s="242"/>
      <c r="M124" s="106" t="s">
        <v>768</v>
      </c>
      <c r="N124" s="240">
        <v>3</v>
      </c>
      <c r="O124" s="241" t="s">
        <v>637</v>
      </c>
      <c r="P124" s="242"/>
      <c r="Q124" s="244"/>
      <c r="R124" s="774"/>
      <c r="S124" s="251"/>
      <c r="T124" s="301" t="str">
        <f>IF(E124="■","080501","")</f>
        <v/>
      </c>
      <c r="U124" s="302" t="str">
        <f>IF(I124="■","080502","")</f>
        <v/>
      </c>
      <c r="V124" s="322" t="str">
        <f>IF(M124="■","080503","")</f>
        <v/>
      </c>
    </row>
    <row r="125" spans="1:22">
      <c r="A125" s="220"/>
      <c r="B125" s="234"/>
      <c r="C125" s="216"/>
      <c r="D125" s="205"/>
      <c r="E125" s="85" t="s">
        <v>768</v>
      </c>
      <c r="F125" s="217">
        <v>4</v>
      </c>
      <c r="G125" s="208" t="s">
        <v>464</v>
      </c>
      <c r="H125" s="202"/>
      <c r="I125" s="86" t="s">
        <v>768</v>
      </c>
      <c r="J125" s="209">
        <v>5</v>
      </c>
      <c r="K125" s="257" t="s">
        <v>101</v>
      </c>
      <c r="L125" s="211"/>
      <c r="M125" s="225" t="b">
        <v>0</v>
      </c>
      <c r="N125" s="209"/>
      <c r="O125" s="210"/>
      <c r="P125" s="211"/>
      <c r="Q125" s="212"/>
      <c r="R125" s="774"/>
      <c r="S125" s="187"/>
      <c r="T125" s="303" t="str">
        <f>IF(E125="■","080504","")</f>
        <v/>
      </c>
      <c r="U125" s="304" t="str">
        <f>IF(I125="■","080505","")</f>
        <v/>
      </c>
      <c r="V125" s="323"/>
    </row>
    <row r="126" spans="1:22">
      <c r="A126" s="220"/>
      <c r="B126" s="221"/>
      <c r="C126" s="216"/>
      <c r="D126" s="222"/>
      <c r="E126" s="259" t="b">
        <v>0</v>
      </c>
      <c r="F126" s="217"/>
      <c r="G126" s="208"/>
      <c r="H126" s="202"/>
      <c r="I126" s="247" t="b">
        <v>0</v>
      </c>
      <c r="J126" s="209"/>
      <c r="K126" s="210"/>
      <c r="L126" s="211"/>
      <c r="M126" s="225" t="b">
        <v>0</v>
      </c>
      <c r="N126" s="209"/>
      <c r="O126" s="210"/>
      <c r="P126" s="211"/>
      <c r="Q126" s="212"/>
      <c r="R126" s="774"/>
      <c r="S126" s="187"/>
      <c r="T126" s="303"/>
      <c r="U126" s="304"/>
      <c r="V126" s="323"/>
    </row>
    <row r="127" spans="1:22" ht="14.25" thickBot="1">
      <c r="A127" s="262"/>
      <c r="B127" s="263"/>
      <c r="C127" s="264"/>
      <c r="D127" s="265"/>
      <c r="E127" s="107" t="s">
        <v>768</v>
      </c>
      <c r="F127" s="266">
        <v>99</v>
      </c>
      <c r="G127" s="267" t="s">
        <v>465</v>
      </c>
      <c r="H127" s="268"/>
      <c r="I127" s="269" t="s">
        <v>50</v>
      </c>
      <c r="J127" s="782"/>
      <c r="K127" s="782"/>
      <c r="L127" s="782"/>
      <c r="M127" s="782"/>
      <c r="N127" s="782"/>
      <c r="O127" s="782"/>
      <c r="P127" s="782"/>
      <c r="Q127" s="270" t="s">
        <v>51</v>
      </c>
      <c r="R127" s="233" t="str">
        <f>IF(E127="■","←必須","")</f>
        <v/>
      </c>
      <c r="S127" s="251"/>
      <c r="T127" s="305" t="str">
        <f>IF(E127="■","080599","")</f>
        <v/>
      </c>
      <c r="U127" s="306"/>
      <c r="V127" s="324"/>
    </row>
    <row r="128" spans="1:22" ht="15" customHeight="1">
      <c r="A128" s="220">
        <v>9</v>
      </c>
      <c r="B128" s="234" t="s">
        <v>254</v>
      </c>
      <c r="C128" s="216">
        <v>1</v>
      </c>
      <c r="D128" s="205" t="s">
        <v>466</v>
      </c>
      <c r="E128" s="85" t="s">
        <v>768</v>
      </c>
      <c r="F128" s="217">
        <v>1</v>
      </c>
      <c r="G128" s="208" t="s">
        <v>571</v>
      </c>
      <c r="H128" s="202"/>
      <c r="I128" s="104" t="s">
        <v>768</v>
      </c>
      <c r="J128" s="209">
        <v>2</v>
      </c>
      <c r="K128" s="210" t="s">
        <v>467</v>
      </c>
      <c r="L128" s="211"/>
      <c r="M128" s="225" t="b">
        <v>0</v>
      </c>
      <c r="N128" s="209"/>
      <c r="O128" s="257"/>
      <c r="P128" s="211"/>
      <c r="Q128" s="212"/>
      <c r="R128" s="774"/>
      <c r="S128" s="251"/>
      <c r="T128" s="301" t="str">
        <f>IF(E128="■","090101","")</f>
        <v/>
      </c>
      <c r="U128" s="302" t="str">
        <f>IF(I128="■","090102","")</f>
        <v/>
      </c>
      <c r="V128" s="322"/>
    </row>
    <row r="129" spans="1:22">
      <c r="A129" s="220"/>
      <c r="B129" s="234"/>
      <c r="C129" s="216"/>
      <c r="D129" s="205"/>
      <c r="E129" s="259" t="b">
        <v>0</v>
      </c>
      <c r="F129" s="217"/>
      <c r="G129" s="208"/>
      <c r="H129" s="202"/>
      <c r="I129" s="247" t="b">
        <v>0</v>
      </c>
      <c r="J129" s="209"/>
      <c r="K129" s="210"/>
      <c r="L129" s="211"/>
      <c r="M129" s="225"/>
      <c r="N129" s="209"/>
      <c r="O129" s="210"/>
      <c r="P129" s="211"/>
      <c r="Q129" s="212"/>
      <c r="R129" s="774"/>
      <c r="S129" s="187"/>
      <c r="T129" s="303"/>
      <c r="U129" s="304"/>
      <c r="V129" s="323"/>
    </row>
    <row r="130" spans="1:22">
      <c r="A130" s="220"/>
      <c r="B130" s="221"/>
      <c r="C130" s="216"/>
      <c r="D130" s="222"/>
      <c r="E130" s="259" t="b">
        <v>0</v>
      </c>
      <c r="F130" s="217"/>
      <c r="G130" s="208"/>
      <c r="H130" s="202"/>
      <c r="I130" s="247" t="b">
        <v>0</v>
      </c>
      <c r="J130" s="209"/>
      <c r="K130" s="210"/>
      <c r="L130" s="211"/>
      <c r="M130" s="225"/>
      <c r="N130" s="209"/>
      <c r="O130" s="210"/>
      <c r="P130" s="211"/>
      <c r="Q130" s="212"/>
      <c r="R130" s="774"/>
      <c r="S130" s="187"/>
      <c r="T130" s="303"/>
      <c r="U130" s="304"/>
      <c r="V130" s="323"/>
    </row>
    <row r="131" spans="1:22" ht="17.25" customHeight="1">
      <c r="A131" s="220"/>
      <c r="B131" s="221"/>
      <c r="C131" s="226"/>
      <c r="D131" s="227"/>
      <c r="E131" s="105" t="s">
        <v>768</v>
      </c>
      <c r="F131" s="228">
        <v>99</v>
      </c>
      <c r="G131" s="250" t="s">
        <v>468</v>
      </c>
      <c r="H131" s="230"/>
      <c r="I131" s="231" t="s">
        <v>50</v>
      </c>
      <c r="J131" s="778"/>
      <c r="K131" s="778"/>
      <c r="L131" s="778"/>
      <c r="M131" s="778"/>
      <c r="N131" s="778"/>
      <c r="O131" s="778"/>
      <c r="P131" s="778"/>
      <c r="Q131" s="232" t="s">
        <v>51</v>
      </c>
      <c r="R131" s="233" t="str">
        <f>IF(E131="■","←必須","")</f>
        <v/>
      </c>
      <c r="S131" s="251"/>
      <c r="T131" s="305" t="str">
        <f>IF(E131="■","090199","")</f>
        <v/>
      </c>
      <c r="U131" s="306"/>
      <c r="V131" s="324"/>
    </row>
    <row r="132" spans="1:22">
      <c r="A132" s="220"/>
      <c r="B132" s="234"/>
      <c r="C132" s="235">
        <v>2</v>
      </c>
      <c r="D132" s="236" t="s">
        <v>469</v>
      </c>
      <c r="E132" s="85" t="s">
        <v>768</v>
      </c>
      <c r="F132" s="237">
        <v>1</v>
      </c>
      <c r="G132" s="254" t="s">
        <v>470</v>
      </c>
      <c r="H132" s="239"/>
      <c r="I132" s="106" t="s">
        <v>768</v>
      </c>
      <c r="J132" s="240">
        <v>2</v>
      </c>
      <c r="K132" s="241" t="s">
        <v>471</v>
      </c>
      <c r="L132" s="242"/>
      <c r="M132" s="106" t="s">
        <v>768</v>
      </c>
      <c r="N132" s="240">
        <v>3</v>
      </c>
      <c r="O132" s="241" t="s">
        <v>472</v>
      </c>
      <c r="P132" s="242"/>
      <c r="Q132" s="244"/>
      <c r="R132" s="774"/>
      <c r="S132" s="251"/>
      <c r="T132" s="301" t="str">
        <f>IF(E132="■","090201","")</f>
        <v/>
      </c>
      <c r="U132" s="302" t="str">
        <f>IF(I132="■","090202","")</f>
        <v/>
      </c>
      <c r="V132" s="322" t="str">
        <f>IF(M132="■","090203","")</f>
        <v/>
      </c>
    </row>
    <row r="133" spans="1:22">
      <c r="A133" s="220"/>
      <c r="B133" s="234"/>
      <c r="C133" s="216"/>
      <c r="D133" s="205"/>
      <c r="E133" s="85" t="s">
        <v>768</v>
      </c>
      <c r="F133" s="217">
        <v>4</v>
      </c>
      <c r="G133" s="208" t="s">
        <v>473</v>
      </c>
      <c r="H133" s="202"/>
      <c r="I133" s="86" t="s">
        <v>768</v>
      </c>
      <c r="J133" s="209">
        <v>5</v>
      </c>
      <c r="K133" s="210" t="s">
        <v>474</v>
      </c>
      <c r="L133" s="211"/>
      <c r="M133" s="86" t="s">
        <v>768</v>
      </c>
      <c r="N133" s="209">
        <v>6</v>
      </c>
      <c r="O133" s="210" t="s">
        <v>475</v>
      </c>
      <c r="P133" s="211"/>
      <c r="Q133" s="212"/>
      <c r="R133" s="774"/>
      <c r="S133" s="187"/>
      <c r="T133" s="303" t="str">
        <f>IF(E133="■","090204","")</f>
        <v/>
      </c>
      <c r="U133" s="304" t="str">
        <f>IF(I133="■","090205","")</f>
        <v/>
      </c>
      <c r="V133" s="323" t="str">
        <f>IF(M133="■","090206","")</f>
        <v/>
      </c>
    </row>
    <row r="134" spans="1:22">
      <c r="A134" s="220"/>
      <c r="B134" s="221"/>
      <c r="C134" s="216"/>
      <c r="D134" s="222"/>
      <c r="E134" s="259" t="b">
        <v>0</v>
      </c>
      <c r="F134" s="217"/>
      <c r="G134" s="208"/>
      <c r="H134" s="202"/>
      <c r="I134" s="247"/>
      <c r="J134" s="209"/>
      <c r="K134" s="210"/>
      <c r="L134" s="211"/>
      <c r="M134" s="225"/>
      <c r="N134" s="209"/>
      <c r="O134" s="210"/>
      <c r="P134" s="211"/>
      <c r="Q134" s="212"/>
      <c r="R134" s="774"/>
      <c r="S134" s="187"/>
      <c r="T134" s="303"/>
      <c r="U134" s="304"/>
      <c r="V134" s="323"/>
    </row>
    <row r="135" spans="1:22">
      <c r="A135" s="220"/>
      <c r="B135" s="221"/>
      <c r="C135" s="226"/>
      <c r="D135" s="227"/>
      <c r="E135" s="105" t="s">
        <v>768</v>
      </c>
      <c r="F135" s="228">
        <v>99</v>
      </c>
      <c r="G135" s="250" t="s">
        <v>476</v>
      </c>
      <c r="H135" s="230"/>
      <c r="I135" s="231" t="s">
        <v>50</v>
      </c>
      <c r="J135" s="778"/>
      <c r="K135" s="778"/>
      <c r="L135" s="778"/>
      <c r="M135" s="778"/>
      <c r="N135" s="778"/>
      <c r="O135" s="778"/>
      <c r="P135" s="778"/>
      <c r="Q135" s="232" t="s">
        <v>51</v>
      </c>
      <c r="R135" s="233" t="str">
        <f>IF(E135="■","←必須","")</f>
        <v/>
      </c>
      <c r="S135" s="251"/>
      <c r="T135" s="305" t="str">
        <f>IF(E135="■","090299","")</f>
        <v/>
      </c>
      <c r="U135" s="306"/>
      <c r="V135" s="324"/>
    </row>
    <row r="136" spans="1:22">
      <c r="A136" s="220"/>
      <c r="B136" s="234"/>
      <c r="C136" s="235">
        <v>3</v>
      </c>
      <c r="D136" s="236" t="s">
        <v>477</v>
      </c>
      <c r="E136" s="85" t="s">
        <v>768</v>
      </c>
      <c r="F136" s="237">
        <v>1</v>
      </c>
      <c r="G136" s="254" t="s">
        <v>478</v>
      </c>
      <c r="H136" s="239"/>
      <c r="I136" s="106" t="s">
        <v>768</v>
      </c>
      <c r="J136" s="240">
        <v>2</v>
      </c>
      <c r="K136" s="241" t="s">
        <v>479</v>
      </c>
      <c r="L136" s="242"/>
      <c r="M136" s="106" t="s">
        <v>768</v>
      </c>
      <c r="N136" s="240">
        <v>3</v>
      </c>
      <c r="O136" s="271" t="s">
        <v>584</v>
      </c>
      <c r="P136" s="242"/>
      <c r="Q136" s="244"/>
      <c r="R136" s="774"/>
      <c r="S136" s="251"/>
      <c r="T136" s="301" t="str">
        <f>IF(E136="■","090301","")</f>
        <v/>
      </c>
      <c r="U136" s="302" t="str">
        <f>IF(I136="■","090302","")</f>
        <v/>
      </c>
      <c r="V136" s="322" t="str">
        <f>IF(M136="■","090303","")</f>
        <v/>
      </c>
    </row>
    <row r="137" spans="1:22">
      <c r="A137" s="220"/>
      <c r="B137" s="234"/>
      <c r="C137" s="216"/>
      <c r="D137" s="205"/>
      <c r="E137" s="85" t="s">
        <v>768</v>
      </c>
      <c r="F137" s="217">
        <v>4</v>
      </c>
      <c r="G137" s="246" t="s">
        <v>585</v>
      </c>
      <c r="H137" s="202"/>
      <c r="I137" s="86" t="s">
        <v>768</v>
      </c>
      <c r="J137" s="209">
        <v>5</v>
      </c>
      <c r="K137" s="257" t="s">
        <v>102</v>
      </c>
      <c r="L137" s="211"/>
      <c r="M137" s="225" t="b">
        <v>0</v>
      </c>
      <c r="N137" s="209"/>
      <c r="O137" s="210"/>
      <c r="P137" s="211"/>
      <c r="Q137" s="212"/>
      <c r="R137" s="774"/>
      <c r="S137" s="187"/>
      <c r="T137" s="303" t="str">
        <f>IF(E137="■","090304","")</f>
        <v/>
      </c>
      <c r="U137" s="304" t="str">
        <f>IF(I137="■","090305","")</f>
        <v/>
      </c>
      <c r="V137" s="323" t="str">
        <f>IF(M137="■","090306","")</f>
        <v/>
      </c>
    </row>
    <row r="138" spans="1:22">
      <c r="A138" s="220"/>
      <c r="B138" s="221"/>
      <c r="C138" s="216"/>
      <c r="D138" s="222"/>
      <c r="E138" s="259" t="s">
        <v>768</v>
      </c>
      <c r="F138" s="217"/>
      <c r="G138" s="208"/>
      <c r="H138" s="202"/>
      <c r="I138" s="247"/>
      <c r="J138" s="209"/>
      <c r="K138" s="210"/>
      <c r="L138" s="211"/>
      <c r="M138" s="225"/>
      <c r="N138" s="209"/>
      <c r="O138" s="210"/>
      <c r="P138" s="211"/>
      <c r="Q138" s="212"/>
      <c r="R138" s="774"/>
      <c r="S138" s="187"/>
      <c r="T138" s="303"/>
      <c r="U138" s="304"/>
      <c r="V138" s="323"/>
    </row>
    <row r="139" spans="1:22">
      <c r="A139" s="220"/>
      <c r="B139" s="221"/>
      <c r="C139" s="226"/>
      <c r="D139" s="227"/>
      <c r="E139" s="105" t="s">
        <v>768</v>
      </c>
      <c r="F139" s="228">
        <v>99</v>
      </c>
      <c r="G139" s="250" t="s">
        <v>480</v>
      </c>
      <c r="H139" s="230"/>
      <c r="I139" s="231" t="s">
        <v>50</v>
      </c>
      <c r="J139" s="778"/>
      <c r="K139" s="778"/>
      <c r="L139" s="778"/>
      <c r="M139" s="778"/>
      <c r="N139" s="778"/>
      <c r="O139" s="778"/>
      <c r="P139" s="778"/>
      <c r="Q139" s="232" t="s">
        <v>51</v>
      </c>
      <c r="R139" s="233" t="str">
        <f>IF(E139="■","←必須","")</f>
        <v/>
      </c>
      <c r="S139" s="251"/>
      <c r="T139" s="305" t="str">
        <f>IF(E139="■","090399","")</f>
        <v/>
      </c>
      <c r="U139" s="306"/>
      <c r="V139" s="324"/>
    </row>
    <row r="140" spans="1:22">
      <c r="A140" s="220"/>
      <c r="B140" s="234"/>
      <c r="C140" s="235">
        <v>4</v>
      </c>
      <c r="D140" s="236" t="s">
        <v>481</v>
      </c>
      <c r="E140" s="85" t="s">
        <v>768</v>
      </c>
      <c r="F140" s="237">
        <v>1</v>
      </c>
      <c r="G140" s="254" t="s">
        <v>482</v>
      </c>
      <c r="H140" s="239"/>
      <c r="I140" s="106" t="s">
        <v>768</v>
      </c>
      <c r="J140" s="240">
        <v>2</v>
      </c>
      <c r="K140" s="241" t="s">
        <v>483</v>
      </c>
      <c r="L140" s="242"/>
      <c r="M140" s="260" t="b">
        <v>0</v>
      </c>
      <c r="N140" s="240"/>
      <c r="O140" s="241"/>
      <c r="P140" s="242"/>
      <c r="Q140" s="244"/>
      <c r="R140" s="774"/>
      <c r="S140" s="251"/>
      <c r="T140" s="301" t="str">
        <f>IF(E140="■","090401","")</f>
        <v/>
      </c>
      <c r="U140" s="302" t="str">
        <f>IF(I140="■","090402","")</f>
        <v/>
      </c>
      <c r="V140" s="322"/>
    </row>
    <row r="141" spans="1:22">
      <c r="A141" s="220"/>
      <c r="B141" s="234"/>
      <c r="C141" s="216"/>
      <c r="D141" s="205" t="s">
        <v>484</v>
      </c>
      <c r="E141" s="259" t="b">
        <v>0</v>
      </c>
      <c r="F141" s="217"/>
      <c r="G141" s="208"/>
      <c r="H141" s="202"/>
      <c r="I141" s="247" t="b">
        <v>0</v>
      </c>
      <c r="J141" s="209"/>
      <c r="K141" s="210"/>
      <c r="L141" s="211"/>
      <c r="M141" s="225" t="b">
        <v>0</v>
      </c>
      <c r="N141" s="209"/>
      <c r="O141" s="210"/>
      <c r="P141" s="211"/>
      <c r="Q141" s="212"/>
      <c r="R141" s="774"/>
      <c r="S141" s="187"/>
      <c r="T141" s="303"/>
      <c r="U141" s="304"/>
      <c r="V141" s="323"/>
    </row>
    <row r="142" spans="1:22">
      <c r="A142" s="220"/>
      <c r="B142" s="221"/>
      <c r="C142" s="216"/>
      <c r="D142" s="222"/>
      <c r="E142" s="259" t="b">
        <v>0</v>
      </c>
      <c r="F142" s="217"/>
      <c r="G142" s="208"/>
      <c r="H142" s="202"/>
      <c r="I142" s="247" t="b">
        <v>0</v>
      </c>
      <c r="J142" s="209"/>
      <c r="K142" s="210"/>
      <c r="L142" s="211"/>
      <c r="M142" s="225" t="b">
        <v>0</v>
      </c>
      <c r="N142" s="209"/>
      <c r="O142" s="210"/>
      <c r="P142" s="211"/>
      <c r="Q142" s="212"/>
      <c r="R142" s="774"/>
      <c r="S142" s="187"/>
      <c r="T142" s="303"/>
      <c r="U142" s="304"/>
      <c r="V142" s="323"/>
    </row>
    <row r="143" spans="1:22">
      <c r="A143" s="220"/>
      <c r="B143" s="221"/>
      <c r="C143" s="226"/>
      <c r="D143" s="227"/>
      <c r="E143" s="105" t="s">
        <v>768</v>
      </c>
      <c r="F143" s="228">
        <v>99</v>
      </c>
      <c r="G143" s="250" t="s">
        <v>485</v>
      </c>
      <c r="H143" s="230"/>
      <c r="I143" s="231" t="s">
        <v>50</v>
      </c>
      <c r="J143" s="778"/>
      <c r="K143" s="778"/>
      <c r="L143" s="778"/>
      <c r="M143" s="778"/>
      <c r="N143" s="778"/>
      <c r="O143" s="778"/>
      <c r="P143" s="778"/>
      <c r="Q143" s="232" t="s">
        <v>51</v>
      </c>
      <c r="R143" s="233" t="str">
        <f>IF(E143="■","←必須","")</f>
        <v/>
      </c>
      <c r="S143" s="251"/>
      <c r="T143" s="305" t="str">
        <f>IF(E143="■","090499","")</f>
        <v/>
      </c>
      <c r="U143" s="306"/>
      <c r="V143" s="324"/>
    </row>
    <row r="144" spans="1:22">
      <c r="A144" s="220"/>
      <c r="B144" s="234"/>
      <c r="C144" s="235">
        <v>5</v>
      </c>
      <c r="D144" s="236" t="s">
        <v>225</v>
      </c>
      <c r="E144" s="85" t="s">
        <v>768</v>
      </c>
      <c r="F144" s="237">
        <v>1</v>
      </c>
      <c r="G144" s="254" t="s">
        <v>486</v>
      </c>
      <c r="H144" s="239"/>
      <c r="I144" s="106" t="s">
        <v>768</v>
      </c>
      <c r="J144" s="240">
        <v>2</v>
      </c>
      <c r="K144" s="241" t="s">
        <v>572</v>
      </c>
      <c r="L144" s="242"/>
      <c r="M144" s="106" t="s">
        <v>768</v>
      </c>
      <c r="N144" s="240">
        <v>3</v>
      </c>
      <c r="O144" s="271" t="s">
        <v>641</v>
      </c>
      <c r="P144" s="242"/>
      <c r="Q144" s="244"/>
      <c r="R144" s="774"/>
      <c r="S144" s="251"/>
      <c r="T144" s="301" t="str">
        <f>IF(E144="■","090501","")</f>
        <v/>
      </c>
      <c r="U144" s="302" t="str">
        <f>IF(I144="■","090502","")</f>
        <v/>
      </c>
      <c r="V144" s="322" t="str">
        <f>IF(M144="■","090503","")</f>
        <v/>
      </c>
    </row>
    <row r="145" spans="1:22">
      <c r="A145" s="220"/>
      <c r="B145" s="234"/>
      <c r="C145" s="216"/>
      <c r="D145" s="205" t="s">
        <v>573</v>
      </c>
      <c r="E145" s="85" t="s">
        <v>768</v>
      </c>
      <c r="F145" s="217">
        <v>4</v>
      </c>
      <c r="G145" s="246" t="s">
        <v>600</v>
      </c>
      <c r="H145" s="202"/>
      <c r="I145" s="86" t="s">
        <v>768</v>
      </c>
      <c r="J145" s="209">
        <v>5</v>
      </c>
      <c r="K145" s="210" t="s">
        <v>487</v>
      </c>
      <c r="L145" s="211"/>
      <c r="M145" s="86" t="s">
        <v>768</v>
      </c>
      <c r="N145" s="209">
        <v>6</v>
      </c>
      <c r="O145" s="210" t="s">
        <v>488</v>
      </c>
      <c r="P145" s="211"/>
      <c r="Q145" s="212"/>
      <c r="R145" s="774"/>
      <c r="S145" s="187"/>
      <c r="T145" s="303" t="str">
        <f>IF(E145="■","090504","")</f>
        <v/>
      </c>
      <c r="U145" s="304" t="str">
        <f>IF(I145="■","090505","")</f>
        <v/>
      </c>
      <c r="V145" s="323" t="str">
        <f>IF(M145="■","090506","")</f>
        <v/>
      </c>
    </row>
    <row r="146" spans="1:22">
      <c r="A146" s="220"/>
      <c r="B146" s="221"/>
      <c r="C146" s="216"/>
      <c r="D146" s="222"/>
      <c r="E146" s="85" t="s">
        <v>768</v>
      </c>
      <c r="F146" s="217">
        <v>7</v>
      </c>
      <c r="G146" s="208" t="s">
        <v>489</v>
      </c>
      <c r="H146" s="202"/>
      <c r="I146" s="247" t="b">
        <v>0</v>
      </c>
      <c r="J146" s="209"/>
      <c r="K146" s="210"/>
      <c r="L146" s="211"/>
      <c r="M146" s="225"/>
      <c r="N146" s="209"/>
      <c r="O146" s="210"/>
      <c r="P146" s="211"/>
      <c r="Q146" s="212"/>
      <c r="R146" s="774"/>
      <c r="S146" s="187"/>
      <c r="T146" s="303" t="str">
        <f>IF(E146="■","090507","")</f>
        <v/>
      </c>
      <c r="U146" s="304"/>
      <c r="V146" s="323"/>
    </row>
    <row r="147" spans="1:22">
      <c r="A147" s="220"/>
      <c r="B147" s="221"/>
      <c r="C147" s="226"/>
      <c r="D147" s="227"/>
      <c r="E147" s="105" t="s">
        <v>768</v>
      </c>
      <c r="F147" s="228">
        <v>99</v>
      </c>
      <c r="G147" s="250" t="s">
        <v>490</v>
      </c>
      <c r="H147" s="230"/>
      <c r="I147" s="231" t="s">
        <v>50</v>
      </c>
      <c r="J147" s="778"/>
      <c r="K147" s="778"/>
      <c r="L147" s="778"/>
      <c r="M147" s="778"/>
      <c r="N147" s="778"/>
      <c r="O147" s="778"/>
      <c r="P147" s="778"/>
      <c r="Q147" s="232" t="s">
        <v>51</v>
      </c>
      <c r="R147" s="233" t="str">
        <f>IF(E147="■","←必須","")</f>
        <v/>
      </c>
      <c r="S147" s="251"/>
      <c r="T147" s="305" t="str">
        <f>IF(E147="■","090599","")</f>
        <v/>
      </c>
      <c r="U147" s="306"/>
      <c r="V147" s="324"/>
    </row>
    <row r="148" spans="1:22">
      <c r="A148" s="220"/>
      <c r="B148" s="234"/>
      <c r="C148" s="235">
        <v>6</v>
      </c>
      <c r="D148" s="236" t="s">
        <v>491</v>
      </c>
      <c r="E148" s="85" t="s">
        <v>768</v>
      </c>
      <c r="F148" s="237">
        <v>1</v>
      </c>
      <c r="G148" s="254" t="s">
        <v>492</v>
      </c>
      <c r="H148" s="239"/>
      <c r="I148" s="106" t="s">
        <v>768</v>
      </c>
      <c r="J148" s="240">
        <v>2</v>
      </c>
      <c r="K148" s="241" t="s">
        <v>493</v>
      </c>
      <c r="L148" s="242"/>
      <c r="M148" s="106" t="s">
        <v>768</v>
      </c>
      <c r="N148" s="240">
        <v>3</v>
      </c>
      <c r="O148" s="241" t="s">
        <v>494</v>
      </c>
      <c r="P148" s="242"/>
      <c r="Q148" s="244"/>
      <c r="R148" s="774"/>
      <c r="S148" s="251"/>
      <c r="T148" s="301" t="str">
        <f>IF(E148="■","090601","")</f>
        <v/>
      </c>
      <c r="U148" s="302" t="str">
        <f>IF(I148="■","090602","")</f>
        <v/>
      </c>
      <c r="V148" s="322" t="str">
        <f>IF(M148="■","090603","")</f>
        <v/>
      </c>
    </row>
    <row r="149" spans="1:22">
      <c r="A149" s="220"/>
      <c r="B149" s="234"/>
      <c r="C149" s="216"/>
      <c r="D149" s="205" t="s">
        <v>495</v>
      </c>
      <c r="E149" s="85" t="s">
        <v>768</v>
      </c>
      <c r="F149" s="217">
        <v>4</v>
      </c>
      <c r="G149" s="245" t="s">
        <v>103</v>
      </c>
      <c r="H149" s="202"/>
      <c r="I149" s="247" t="b">
        <v>0</v>
      </c>
      <c r="J149" s="209"/>
      <c r="K149" s="210"/>
      <c r="L149" s="211"/>
      <c r="M149" s="225" t="b">
        <v>0</v>
      </c>
      <c r="N149" s="209"/>
      <c r="O149" s="210"/>
      <c r="P149" s="211"/>
      <c r="Q149" s="212"/>
      <c r="R149" s="774"/>
      <c r="S149" s="187"/>
      <c r="T149" s="303" t="str">
        <f>IF(E149="■","090604","")</f>
        <v/>
      </c>
      <c r="U149" s="304"/>
      <c r="V149" s="323"/>
    </row>
    <row r="150" spans="1:22">
      <c r="A150" s="220"/>
      <c r="B150" s="221"/>
      <c r="C150" s="216"/>
      <c r="D150" s="222"/>
      <c r="E150" s="259" t="b">
        <v>0</v>
      </c>
      <c r="F150" s="217"/>
      <c r="G150" s="208"/>
      <c r="H150" s="202"/>
      <c r="I150" s="247" t="b">
        <v>0</v>
      </c>
      <c r="J150" s="209"/>
      <c r="K150" s="210"/>
      <c r="L150" s="211"/>
      <c r="M150" s="225" t="b">
        <v>0</v>
      </c>
      <c r="N150" s="209"/>
      <c r="O150" s="210"/>
      <c r="P150" s="211"/>
      <c r="Q150" s="212"/>
      <c r="R150" s="774"/>
      <c r="S150" s="187"/>
      <c r="T150" s="303"/>
      <c r="U150" s="304"/>
      <c r="V150" s="323"/>
    </row>
    <row r="151" spans="1:22">
      <c r="A151" s="220"/>
      <c r="B151" s="221"/>
      <c r="C151" s="226"/>
      <c r="D151" s="227"/>
      <c r="E151" s="105" t="s">
        <v>768</v>
      </c>
      <c r="F151" s="228">
        <v>99</v>
      </c>
      <c r="G151" s="250" t="s">
        <v>496</v>
      </c>
      <c r="H151" s="230"/>
      <c r="I151" s="231" t="s">
        <v>50</v>
      </c>
      <c r="J151" s="778"/>
      <c r="K151" s="778"/>
      <c r="L151" s="778"/>
      <c r="M151" s="778"/>
      <c r="N151" s="778"/>
      <c r="O151" s="778"/>
      <c r="P151" s="778"/>
      <c r="Q151" s="232" t="s">
        <v>51</v>
      </c>
      <c r="R151" s="233" t="str">
        <f>IF(E151="■","←必須","")</f>
        <v/>
      </c>
      <c r="S151" s="251"/>
      <c r="T151" s="305" t="str">
        <f>IF(E151="■","090699","")</f>
        <v/>
      </c>
      <c r="U151" s="306"/>
      <c r="V151" s="324"/>
    </row>
    <row r="152" spans="1:22">
      <c r="A152" s="220"/>
      <c r="B152" s="234"/>
      <c r="C152" s="235">
        <v>7</v>
      </c>
      <c r="D152" s="236" t="s">
        <v>497</v>
      </c>
      <c r="E152" s="85" t="s">
        <v>768</v>
      </c>
      <c r="F152" s="237">
        <v>1</v>
      </c>
      <c r="G152" s="254" t="s">
        <v>498</v>
      </c>
      <c r="H152" s="239"/>
      <c r="I152" s="106" t="s">
        <v>768</v>
      </c>
      <c r="J152" s="240">
        <v>2</v>
      </c>
      <c r="K152" s="241" t="s">
        <v>499</v>
      </c>
      <c r="L152" s="242"/>
      <c r="M152" s="106" t="s">
        <v>768</v>
      </c>
      <c r="N152" s="240">
        <v>3</v>
      </c>
      <c r="O152" s="243" t="s">
        <v>105</v>
      </c>
      <c r="P152" s="242"/>
      <c r="Q152" s="244"/>
      <c r="R152" s="774"/>
      <c r="S152" s="251"/>
      <c r="T152" s="301" t="str">
        <f>IF(E152="■","090701","")</f>
        <v/>
      </c>
      <c r="U152" s="302" t="str">
        <f>IF(I152="■","090702","")</f>
        <v/>
      </c>
      <c r="V152" s="322" t="str">
        <f>IF(M152="■","090703","")</f>
        <v/>
      </c>
    </row>
    <row r="153" spans="1:22">
      <c r="A153" s="220"/>
      <c r="B153" s="234"/>
      <c r="C153" s="216"/>
      <c r="D153" s="205" t="s">
        <v>104</v>
      </c>
      <c r="E153" s="85" t="s">
        <v>768</v>
      </c>
      <c r="F153" s="217">
        <v>4</v>
      </c>
      <c r="G153" s="245" t="s">
        <v>3</v>
      </c>
      <c r="H153" s="202"/>
      <c r="I153" s="86" t="s">
        <v>768</v>
      </c>
      <c r="J153" s="209">
        <v>5</v>
      </c>
      <c r="K153" s="210" t="s">
        <v>500</v>
      </c>
      <c r="L153" s="211"/>
      <c r="M153" s="86" t="s">
        <v>768</v>
      </c>
      <c r="N153" s="209">
        <v>6</v>
      </c>
      <c r="O153" s="257" t="s">
        <v>501</v>
      </c>
      <c r="P153" s="211"/>
      <c r="Q153" s="212"/>
      <c r="R153" s="774"/>
      <c r="S153" s="187"/>
      <c r="T153" s="303" t="str">
        <f>IF(E153="■","090704","")</f>
        <v/>
      </c>
      <c r="U153" s="304" t="str">
        <f>IF(I153="■","090705","")</f>
        <v/>
      </c>
      <c r="V153" s="323" t="str">
        <f>IF(M153="■","090706","")</f>
        <v/>
      </c>
    </row>
    <row r="154" spans="1:22">
      <c r="A154" s="220"/>
      <c r="B154" s="221"/>
      <c r="C154" s="216"/>
      <c r="D154" s="222"/>
      <c r="E154" s="259" t="b">
        <v>0</v>
      </c>
      <c r="F154" s="217"/>
      <c r="G154" s="245"/>
      <c r="H154" s="202"/>
      <c r="I154" s="247" t="b">
        <v>0</v>
      </c>
      <c r="J154" s="209"/>
      <c r="K154" s="210"/>
      <c r="L154" s="211"/>
      <c r="M154" s="225" t="b">
        <v>0</v>
      </c>
      <c r="N154" s="209"/>
      <c r="O154" s="210"/>
      <c r="P154" s="211"/>
      <c r="Q154" s="212"/>
      <c r="R154" s="774"/>
      <c r="S154" s="187"/>
      <c r="T154" s="303"/>
      <c r="U154" s="304"/>
      <c r="V154" s="323"/>
    </row>
    <row r="155" spans="1:22">
      <c r="A155" s="220"/>
      <c r="B155" s="221"/>
      <c r="C155" s="226"/>
      <c r="D155" s="227"/>
      <c r="E155" s="105" t="s">
        <v>768</v>
      </c>
      <c r="F155" s="228">
        <v>99</v>
      </c>
      <c r="G155" s="250" t="s">
        <v>502</v>
      </c>
      <c r="H155" s="230"/>
      <c r="I155" s="231" t="s">
        <v>50</v>
      </c>
      <c r="J155" s="778"/>
      <c r="K155" s="778"/>
      <c r="L155" s="778"/>
      <c r="M155" s="778"/>
      <c r="N155" s="778"/>
      <c r="O155" s="778"/>
      <c r="P155" s="778"/>
      <c r="Q155" s="232" t="s">
        <v>51</v>
      </c>
      <c r="R155" s="233" t="str">
        <f>IF(E155="■","←必須","")</f>
        <v/>
      </c>
      <c r="S155" s="251"/>
      <c r="T155" s="305" t="str">
        <f>IF(E155="■","090799","")</f>
        <v/>
      </c>
      <c r="U155" s="306"/>
      <c r="V155" s="324"/>
    </row>
    <row r="156" spans="1:22">
      <c r="A156" s="220"/>
      <c r="B156" s="234"/>
      <c r="C156" s="235">
        <v>8</v>
      </c>
      <c r="D156" s="236" t="s">
        <v>503</v>
      </c>
      <c r="E156" s="85" t="s">
        <v>768</v>
      </c>
      <c r="F156" s="237">
        <v>1</v>
      </c>
      <c r="G156" s="254" t="s">
        <v>504</v>
      </c>
      <c r="H156" s="239"/>
      <c r="I156" s="106" t="s">
        <v>768</v>
      </c>
      <c r="J156" s="240">
        <v>2</v>
      </c>
      <c r="K156" s="241" t="s">
        <v>505</v>
      </c>
      <c r="L156" s="242"/>
      <c r="M156" s="106" t="s">
        <v>768</v>
      </c>
      <c r="N156" s="240">
        <v>3</v>
      </c>
      <c r="O156" s="241" t="s">
        <v>506</v>
      </c>
      <c r="P156" s="242"/>
      <c r="Q156" s="244"/>
      <c r="R156" s="774"/>
      <c r="S156" s="251"/>
      <c r="T156" s="301" t="str">
        <f>IF(E156="■","090801","")</f>
        <v/>
      </c>
      <c r="U156" s="302" t="str">
        <f>IF(I156="■","090802","")</f>
        <v/>
      </c>
      <c r="V156" s="322" t="str">
        <f>IF(M156="■","090803","")</f>
        <v/>
      </c>
    </row>
    <row r="157" spans="1:22">
      <c r="A157" s="220"/>
      <c r="B157" s="234"/>
      <c r="C157" s="216"/>
      <c r="D157" s="205" t="s">
        <v>495</v>
      </c>
      <c r="E157" s="85" t="s">
        <v>768</v>
      </c>
      <c r="F157" s="217">
        <v>4</v>
      </c>
      <c r="G157" s="245" t="s">
        <v>106</v>
      </c>
      <c r="H157" s="202"/>
      <c r="I157" s="86" t="s">
        <v>768</v>
      </c>
      <c r="J157" s="209">
        <v>5</v>
      </c>
      <c r="K157" s="257" t="s">
        <v>107</v>
      </c>
      <c r="L157" s="211"/>
      <c r="M157" s="86" t="s">
        <v>768</v>
      </c>
      <c r="N157" s="209">
        <v>6</v>
      </c>
      <c r="O157" s="210" t="s">
        <v>507</v>
      </c>
      <c r="P157" s="211"/>
      <c r="Q157" s="212"/>
      <c r="R157" s="774"/>
      <c r="S157" s="187"/>
      <c r="T157" s="303" t="str">
        <f>IF(E157="■","090804","")</f>
        <v/>
      </c>
      <c r="U157" s="304" t="str">
        <f>IF(I157="■","090805","")</f>
        <v/>
      </c>
      <c r="V157" s="323" t="str">
        <f>IF(M157="■","090806","")</f>
        <v/>
      </c>
    </row>
    <row r="158" spans="1:22">
      <c r="A158" s="220"/>
      <c r="B158" s="221"/>
      <c r="C158" s="216"/>
      <c r="D158" s="222"/>
      <c r="E158" s="85" t="s">
        <v>768</v>
      </c>
      <c r="F158" s="217">
        <v>7</v>
      </c>
      <c r="G158" s="208" t="s">
        <v>508</v>
      </c>
      <c r="H158" s="202"/>
      <c r="I158" s="86" t="s">
        <v>768</v>
      </c>
      <c r="J158" s="209">
        <v>8</v>
      </c>
      <c r="K158" s="210" t="s">
        <v>574</v>
      </c>
      <c r="L158" s="211"/>
      <c r="M158" s="86" t="s">
        <v>768</v>
      </c>
      <c r="N158" s="209">
        <v>9</v>
      </c>
      <c r="O158" s="257" t="s">
        <v>108</v>
      </c>
      <c r="P158" s="211"/>
      <c r="Q158" s="212"/>
      <c r="R158" s="774"/>
      <c r="S158" s="187"/>
      <c r="T158" s="303" t="str">
        <f>IF(E158="■","090807","")</f>
        <v/>
      </c>
      <c r="U158" s="304" t="str">
        <f>IF(I158="■","090808","")</f>
        <v/>
      </c>
      <c r="V158" s="323" t="str">
        <f>IF(M158="■","090809","")</f>
        <v/>
      </c>
    </row>
    <row r="159" spans="1:22">
      <c r="A159" s="220"/>
      <c r="B159" s="221"/>
      <c r="C159" s="226"/>
      <c r="D159" s="227"/>
      <c r="E159" s="105" t="s">
        <v>768</v>
      </c>
      <c r="F159" s="228">
        <v>99</v>
      </c>
      <c r="G159" s="250" t="s">
        <v>465</v>
      </c>
      <c r="H159" s="230"/>
      <c r="I159" s="231" t="s">
        <v>50</v>
      </c>
      <c r="J159" s="778"/>
      <c r="K159" s="778"/>
      <c r="L159" s="778"/>
      <c r="M159" s="778"/>
      <c r="N159" s="778"/>
      <c r="O159" s="778"/>
      <c r="P159" s="778"/>
      <c r="Q159" s="232" t="s">
        <v>51</v>
      </c>
      <c r="R159" s="233" t="str">
        <f>IF(E159="■","←必須","")</f>
        <v/>
      </c>
      <c r="S159" s="251"/>
      <c r="T159" s="305" t="str">
        <f>IF(E159="■","090899","")</f>
        <v/>
      </c>
      <c r="U159" s="306"/>
      <c r="V159" s="324"/>
    </row>
    <row r="160" spans="1:22">
      <c r="A160" s="220"/>
      <c r="B160" s="234"/>
      <c r="C160" s="235">
        <v>9</v>
      </c>
      <c r="D160" s="236" t="s">
        <v>509</v>
      </c>
      <c r="E160" s="85" t="s">
        <v>768</v>
      </c>
      <c r="F160" s="237">
        <v>1</v>
      </c>
      <c r="G160" s="254" t="s">
        <v>510</v>
      </c>
      <c r="H160" s="239"/>
      <c r="I160" s="106" t="s">
        <v>768</v>
      </c>
      <c r="J160" s="240">
        <v>2</v>
      </c>
      <c r="K160" s="241" t="s">
        <v>511</v>
      </c>
      <c r="L160" s="242"/>
      <c r="M160" s="106" t="s">
        <v>768</v>
      </c>
      <c r="N160" s="240">
        <v>3</v>
      </c>
      <c r="O160" s="241" t="s">
        <v>512</v>
      </c>
      <c r="P160" s="242"/>
      <c r="Q160" s="244"/>
      <c r="R160" s="774"/>
      <c r="S160" s="251"/>
      <c r="T160" s="301" t="str">
        <f>IF(E160="■","090901","")</f>
        <v/>
      </c>
      <c r="U160" s="302" t="str">
        <f>IF(I160="■","090902","")</f>
        <v/>
      </c>
      <c r="V160" s="322" t="str">
        <f>IF(M160="■","090903","")</f>
        <v/>
      </c>
    </row>
    <row r="161" spans="1:22">
      <c r="A161" s="220"/>
      <c r="B161" s="234"/>
      <c r="C161" s="216"/>
      <c r="D161" s="205" t="s">
        <v>513</v>
      </c>
      <c r="E161" s="85" t="s">
        <v>768</v>
      </c>
      <c r="F161" s="217">
        <v>4</v>
      </c>
      <c r="G161" s="208" t="s">
        <v>638</v>
      </c>
      <c r="H161" s="202"/>
      <c r="I161" s="86" t="s">
        <v>768</v>
      </c>
      <c r="J161" s="209">
        <v>5</v>
      </c>
      <c r="K161" s="257" t="s">
        <v>4</v>
      </c>
      <c r="L161" s="211"/>
      <c r="M161" s="86" t="s">
        <v>768</v>
      </c>
      <c r="N161" s="209">
        <v>6</v>
      </c>
      <c r="O161" s="210" t="s">
        <v>514</v>
      </c>
      <c r="P161" s="211"/>
      <c r="Q161" s="212"/>
      <c r="R161" s="774"/>
      <c r="S161" s="187"/>
      <c r="T161" s="303" t="str">
        <f>IF(E161="■","090904","")</f>
        <v/>
      </c>
      <c r="U161" s="304" t="str">
        <f>IF(I161="■","090905","")</f>
        <v/>
      </c>
      <c r="V161" s="323" t="str">
        <f>IF(M161="■","090906","")</f>
        <v/>
      </c>
    </row>
    <row r="162" spans="1:22">
      <c r="A162" s="220"/>
      <c r="B162" s="221"/>
      <c r="C162" s="216"/>
      <c r="D162" s="222"/>
      <c r="E162" s="85" t="s">
        <v>768</v>
      </c>
      <c r="F162" s="217">
        <v>7</v>
      </c>
      <c r="G162" s="245" t="s">
        <v>639</v>
      </c>
      <c r="H162" s="202"/>
      <c r="I162" s="86" t="s">
        <v>768</v>
      </c>
      <c r="J162" s="209">
        <v>8</v>
      </c>
      <c r="K162" s="257" t="s">
        <v>1</v>
      </c>
      <c r="L162" s="211"/>
      <c r="M162" s="86" t="s">
        <v>768</v>
      </c>
      <c r="N162" s="209">
        <v>9</v>
      </c>
      <c r="O162" s="257" t="s">
        <v>109</v>
      </c>
      <c r="P162" s="211"/>
      <c r="Q162" s="212"/>
      <c r="R162" s="774"/>
      <c r="S162" s="187"/>
      <c r="T162" s="303" t="str">
        <f>IF(E162="■","090907","")</f>
        <v/>
      </c>
      <c r="U162" s="304" t="str">
        <f>IF(I162="■","090908","")</f>
        <v/>
      </c>
      <c r="V162" s="323" t="str">
        <f>IF(M162="■","090909","")</f>
        <v/>
      </c>
    </row>
    <row r="163" spans="1:22">
      <c r="A163" s="220"/>
      <c r="B163" s="221"/>
      <c r="C163" s="226"/>
      <c r="D163" s="227"/>
      <c r="E163" s="105" t="s">
        <v>768</v>
      </c>
      <c r="F163" s="228">
        <v>99</v>
      </c>
      <c r="G163" s="250" t="s">
        <v>465</v>
      </c>
      <c r="H163" s="230"/>
      <c r="I163" s="231" t="s">
        <v>50</v>
      </c>
      <c r="J163" s="778"/>
      <c r="K163" s="778"/>
      <c r="L163" s="778"/>
      <c r="M163" s="778"/>
      <c r="N163" s="778"/>
      <c r="O163" s="778"/>
      <c r="P163" s="778"/>
      <c r="Q163" s="232" t="s">
        <v>51</v>
      </c>
      <c r="R163" s="233" t="str">
        <f>IF(E163="■","←必須","")</f>
        <v/>
      </c>
      <c r="S163" s="251"/>
      <c r="T163" s="303" t="str">
        <f>IF(E163="■","090999","")</f>
        <v/>
      </c>
      <c r="U163" s="304"/>
      <c r="V163" s="323"/>
    </row>
    <row r="164" spans="1:22">
      <c r="A164" s="220"/>
      <c r="B164" s="234"/>
      <c r="C164" s="235">
        <v>10</v>
      </c>
      <c r="D164" s="236" t="s">
        <v>515</v>
      </c>
      <c r="E164" s="85" t="s">
        <v>768</v>
      </c>
      <c r="F164" s="237">
        <v>1</v>
      </c>
      <c r="G164" s="261" t="s">
        <v>110</v>
      </c>
      <c r="H164" s="239"/>
      <c r="I164" s="106" t="s">
        <v>768</v>
      </c>
      <c r="J164" s="240">
        <v>2</v>
      </c>
      <c r="K164" s="241" t="s">
        <v>516</v>
      </c>
      <c r="L164" s="242"/>
      <c r="M164" s="106" t="s">
        <v>768</v>
      </c>
      <c r="N164" s="240">
        <v>3</v>
      </c>
      <c r="O164" s="241" t="s">
        <v>517</v>
      </c>
      <c r="P164" s="242"/>
      <c r="Q164" s="244"/>
      <c r="R164" s="774"/>
      <c r="S164" s="251"/>
      <c r="T164" s="301" t="str">
        <f>IF(E164="■","091001","")</f>
        <v/>
      </c>
      <c r="U164" s="302" t="str">
        <f>IF(I164="■","091002","")</f>
        <v/>
      </c>
      <c r="V164" s="322" t="str">
        <f>IF(M164="■","091003","")</f>
        <v/>
      </c>
    </row>
    <row r="165" spans="1:22">
      <c r="A165" s="220"/>
      <c r="B165" s="234"/>
      <c r="C165" s="216"/>
      <c r="D165" s="205"/>
      <c r="E165" s="85" t="s">
        <v>768</v>
      </c>
      <c r="F165" s="217">
        <v>4</v>
      </c>
      <c r="G165" s="208" t="s">
        <v>518</v>
      </c>
      <c r="H165" s="202"/>
      <c r="I165" s="86" t="s">
        <v>768</v>
      </c>
      <c r="J165" s="209">
        <v>5</v>
      </c>
      <c r="K165" s="210" t="s">
        <v>574</v>
      </c>
      <c r="L165" s="211"/>
      <c r="M165" s="86" t="s">
        <v>768</v>
      </c>
      <c r="N165" s="209">
        <v>6</v>
      </c>
      <c r="O165" s="257" t="s">
        <v>2</v>
      </c>
      <c r="P165" s="211"/>
      <c r="Q165" s="212"/>
      <c r="R165" s="774"/>
      <c r="S165" s="187"/>
      <c r="T165" s="303" t="str">
        <f>IF(E165="■","091004","")</f>
        <v/>
      </c>
      <c r="U165" s="304" t="str">
        <f>IF(I165="■","091005","")</f>
        <v/>
      </c>
      <c r="V165" s="323" t="str">
        <f>IF(M165="■","091006","")</f>
        <v/>
      </c>
    </row>
    <row r="166" spans="1:22">
      <c r="A166" s="220"/>
      <c r="B166" s="221"/>
      <c r="C166" s="216"/>
      <c r="D166" s="222"/>
      <c r="E166" s="85" t="s">
        <v>768</v>
      </c>
      <c r="F166" s="217">
        <v>7</v>
      </c>
      <c r="G166" s="208" t="s">
        <v>519</v>
      </c>
      <c r="H166" s="202"/>
      <c r="I166" s="86" t="s">
        <v>768</v>
      </c>
      <c r="J166" s="209">
        <v>8</v>
      </c>
      <c r="K166" s="257" t="s">
        <v>85</v>
      </c>
      <c r="L166" s="211"/>
      <c r="M166" s="86" t="s">
        <v>768</v>
      </c>
      <c r="N166" s="209">
        <v>9</v>
      </c>
      <c r="O166" s="257" t="s">
        <v>111</v>
      </c>
      <c r="P166" s="211"/>
      <c r="Q166" s="212"/>
      <c r="R166" s="774"/>
      <c r="S166" s="187"/>
      <c r="T166" s="303" t="str">
        <f>IF(E166="■","091007","")</f>
        <v/>
      </c>
      <c r="U166" s="304" t="str">
        <f>IF(I166="■","091008","")</f>
        <v/>
      </c>
      <c r="V166" s="323" t="str">
        <f>IF(M166="■","091009","")</f>
        <v/>
      </c>
    </row>
    <row r="167" spans="1:22">
      <c r="A167" s="220"/>
      <c r="B167" s="221"/>
      <c r="C167" s="226"/>
      <c r="D167" s="227"/>
      <c r="E167" s="105" t="s">
        <v>768</v>
      </c>
      <c r="F167" s="228">
        <v>99</v>
      </c>
      <c r="G167" s="250" t="s">
        <v>465</v>
      </c>
      <c r="H167" s="230"/>
      <c r="I167" s="231" t="s">
        <v>50</v>
      </c>
      <c r="J167" s="778"/>
      <c r="K167" s="778"/>
      <c r="L167" s="778"/>
      <c r="M167" s="778"/>
      <c r="N167" s="778"/>
      <c r="O167" s="778"/>
      <c r="P167" s="778"/>
      <c r="Q167" s="232" t="s">
        <v>51</v>
      </c>
      <c r="R167" s="233" t="str">
        <f>IF(E167="■","←必須","")</f>
        <v/>
      </c>
      <c r="S167" s="251"/>
      <c r="T167" s="305" t="str">
        <f>IF(E167="■","091099","")</f>
        <v/>
      </c>
      <c r="U167" s="306"/>
      <c r="V167" s="324"/>
    </row>
    <row r="168" spans="1:22">
      <c r="A168" s="220"/>
      <c r="B168" s="234"/>
      <c r="C168" s="235">
        <v>11</v>
      </c>
      <c r="D168" s="236" t="s">
        <v>520</v>
      </c>
      <c r="E168" s="85" t="s">
        <v>768</v>
      </c>
      <c r="F168" s="237">
        <v>1</v>
      </c>
      <c r="G168" s="254" t="s">
        <v>521</v>
      </c>
      <c r="H168" s="239"/>
      <c r="I168" s="106" t="s">
        <v>768</v>
      </c>
      <c r="J168" s="240">
        <v>2</v>
      </c>
      <c r="K168" s="241" t="s">
        <v>522</v>
      </c>
      <c r="L168" s="242"/>
      <c r="M168" s="106" t="s">
        <v>768</v>
      </c>
      <c r="N168" s="240">
        <v>3</v>
      </c>
      <c r="O168" s="241" t="s">
        <v>523</v>
      </c>
      <c r="P168" s="242"/>
      <c r="Q168" s="244"/>
      <c r="R168" s="774"/>
      <c r="S168" s="251"/>
      <c r="T168" s="301" t="str">
        <f>IF(E168="■","091101","")</f>
        <v/>
      </c>
      <c r="U168" s="302" t="str">
        <f>IF(I168="■","091102","")</f>
        <v/>
      </c>
      <c r="V168" s="322" t="str">
        <f>IF(M168="■","091103","")</f>
        <v/>
      </c>
    </row>
    <row r="169" spans="1:22">
      <c r="A169" s="220"/>
      <c r="B169" s="234"/>
      <c r="C169" s="216"/>
      <c r="D169" s="205"/>
      <c r="E169" s="85" t="s">
        <v>768</v>
      </c>
      <c r="F169" s="217">
        <v>4</v>
      </c>
      <c r="G169" s="208" t="s">
        <v>524</v>
      </c>
      <c r="H169" s="202"/>
      <c r="I169" s="86" t="s">
        <v>768</v>
      </c>
      <c r="J169" s="209">
        <v>5</v>
      </c>
      <c r="K169" s="210" t="s">
        <v>525</v>
      </c>
      <c r="L169" s="211"/>
      <c r="M169" s="86" t="s">
        <v>768</v>
      </c>
      <c r="N169" s="209">
        <v>6</v>
      </c>
      <c r="O169" s="210" t="s">
        <v>526</v>
      </c>
      <c r="P169" s="211"/>
      <c r="Q169" s="212"/>
      <c r="R169" s="774"/>
      <c r="S169" s="187"/>
      <c r="T169" s="303" t="str">
        <f>IF(E169="■","091104","")</f>
        <v/>
      </c>
      <c r="U169" s="304" t="str">
        <f>IF(I169="■","091105","")</f>
        <v/>
      </c>
      <c r="V169" s="323" t="str">
        <f>IF(M169="■","091106","")</f>
        <v/>
      </c>
    </row>
    <row r="170" spans="1:22">
      <c r="A170" s="220"/>
      <c r="B170" s="221"/>
      <c r="C170" s="216"/>
      <c r="D170" s="222"/>
      <c r="E170" s="85" t="s">
        <v>768</v>
      </c>
      <c r="F170" s="217">
        <v>7</v>
      </c>
      <c r="G170" s="208" t="s">
        <v>527</v>
      </c>
      <c r="H170" s="202"/>
      <c r="I170" s="86" t="s">
        <v>768</v>
      </c>
      <c r="J170" s="209">
        <v>8</v>
      </c>
      <c r="K170" s="210" t="s">
        <v>528</v>
      </c>
      <c r="L170" s="211"/>
      <c r="M170" s="86" t="s">
        <v>768</v>
      </c>
      <c r="N170" s="209">
        <v>9</v>
      </c>
      <c r="O170" s="257" t="s">
        <v>112</v>
      </c>
      <c r="P170" s="211"/>
      <c r="Q170" s="212"/>
      <c r="R170" s="774"/>
      <c r="S170" s="187"/>
      <c r="T170" s="303" t="str">
        <f>IF(E170="■","091107","")</f>
        <v/>
      </c>
      <c r="U170" s="304" t="str">
        <f>IF(I170="■","091108","")</f>
        <v/>
      </c>
      <c r="V170" s="323" t="str">
        <f>IF(M170="■","091109","")</f>
        <v/>
      </c>
    </row>
    <row r="171" spans="1:22">
      <c r="A171" s="220"/>
      <c r="B171" s="221"/>
      <c r="C171" s="226"/>
      <c r="D171" s="227"/>
      <c r="E171" s="105" t="s">
        <v>768</v>
      </c>
      <c r="F171" s="228">
        <v>99</v>
      </c>
      <c r="G171" s="250" t="s">
        <v>465</v>
      </c>
      <c r="H171" s="230"/>
      <c r="I171" s="231" t="s">
        <v>50</v>
      </c>
      <c r="J171" s="778"/>
      <c r="K171" s="778"/>
      <c r="L171" s="778"/>
      <c r="M171" s="778"/>
      <c r="N171" s="778"/>
      <c r="O171" s="778"/>
      <c r="P171" s="778"/>
      <c r="Q171" s="232" t="s">
        <v>51</v>
      </c>
      <c r="R171" s="233" t="str">
        <f>IF(E171="■","←必須","")</f>
        <v/>
      </c>
      <c r="S171" s="251"/>
      <c r="T171" s="305" t="str">
        <f>IF(E171="■","091199","")</f>
        <v/>
      </c>
      <c r="U171" s="306"/>
      <c r="V171" s="324"/>
    </row>
    <row r="172" spans="1:22">
      <c r="A172" s="220"/>
      <c r="B172" s="234"/>
      <c r="C172" s="235">
        <v>12</v>
      </c>
      <c r="D172" s="236" t="s">
        <v>529</v>
      </c>
      <c r="E172" s="85" t="s">
        <v>768</v>
      </c>
      <c r="F172" s="237">
        <v>1</v>
      </c>
      <c r="G172" s="254" t="s">
        <v>530</v>
      </c>
      <c r="H172" s="239"/>
      <c r="I172" s="106" t="s">
        <v>768</v>
      </c>
      <c r="J172" s="240">
        <v>2</v>
      </c>
      <c r="K172" s="241" t="s">
        <v>531</v>
      </c>
      <c r="L172" s="242"/>
      <c r="M172" s="106" t="s">
        <v>768</v>
      </c>
      <c r="N172" s="240">
        <v>3</v>
      </c>
      <c r="O172" s="241" t="s">
        <v>532</v>
      </c>
      <c r="P172" s="242"/>
      <c r="Q172" s="244"/>
      <c r="R172" s="774"/>
      <c r="S172" s="251"/>
      <c r="T172" s="301" t="str">
        <f>IF(E172="■","091201","")</f>
        <v/>
      </c>
      <c r="U172" s="302" t="str">
        <f>IF(I172="■","091202","")</f>
        <v/>
      </c>
      <c r="V172" s="322" t="str">
        <f>IF(M172="■","091203","")</f>
        <v/>
      </c>
    </row>
    <row r="173" spans="1:22">
      <c r="A173" s="220"/>
      <c r="B173" s="234"/>
      <c r="C173" s="216"/>
      <c r="D173" s="205"/>
      <c r="E173" s="85" t="s">
        <v>768</v>
      </c>
      <c r="F173" s="217">
        <v>4</v>
      </c>
      <c r="G173" s="208" t="s">
        <v>640</v>
      </c>
      <c r="H173" s="202"/>
      <c r="I173" s="86" t="s">
        <v>768</v>
      </c>
      <c r="J173" s="209">
        <v>5</v>
      </c>
      <c r="K173" s="210" t="s">
        <v>533</v>
      </c>
      <c r="L173" s="211"/>
      <c r="M173" s="225" t="b">
        <v>0</v>
      </c>
      <c r="N173" s="209"/>
      <c r="O173" s="210"/>
      <c r="P173" s="211"/>
      <c r="Q173" s="212"/>
      <c r="R173" s="774"/>
      <c r="S173" s="187"/>
      <c r="T173" s="303" t="str">
        <f>IF(E173="■","091204","")</f>
        <v/>
      </c>
      <c r="U173" s="304" t="str">
        <f>IF(I173="■","091205","")</f>
        <v/>
      </c>
      <c r="V173" s="323"/>
    </row>
    <row r="174" spans="1:22">
      <c r="A174" s="220"/>
      <c r="B174" s="221"/>
      <c r="C174" s="216"/>
      <c r="D174" s="222"/>
      <c r="E174" s="259" t="b">
        <v>0</v>
      </c>
      <c r="F174" s="217"/>
      <c r="G174" s="208"/>
      <c r="H174" s="202"/>
      <c r="I174" s="247" t="b">
        <v>0</v>
      </c>
      <c r="J174" s="209"/>
      <c r="K174" s="210"/>
      <c r="L174" s="211"/>
      <c r="M174" s="225" t="b">
        <v>0</v>
      </c>
      <c r="N174" s="209"/>
      <c r="O174" s="210"/>
      <c r="P174" s="211"/>
      <c r="Q174" s="212"/>
      <c r="R174" s="774"/>
      <c r="S174" s="187"/>
      <c r="T174" s="303"/>
      <c r="U174" s="304"/>
      <c r="V174" s="323"/>
    </row>
    <row r="175" spans="1:22">
      <c r="A175" s="220"/>
      <c r="B175" s="221"/>
      <c r="C175" s="226"/>
      <c r="D175" s="227"/>
      <c r="E175" s="105" t="s">
        <v>768</v>
      </c>
      <c r="F175" s="228">
        <v>99</v>
      </c>
      <c r="G175" s="250" t="s">
        <v>534</v>
      </c>
      <c r="H175" s="230"/>
      <c r="I175" s="231" t="s">
        <v>50</v>
      </c>
      <c r="J175" s="778"/>
      <c r="K175" s="778"/>
      <c r="L175" s="778"/>
      <c r="M175" s="778"/>
      <c r="N175" s="778"/>
      <c r="O175" s="778"/>
      <c r="P175" s="778"/>
      <c r="Q175" s="232" t="s">
        <v>51</v>
      </c>
      <c r="R175" s="233" t="str">
        <f>IF(E175="■","←必須","")</f>
        <v/>
      </c>
      <c r="S175" s="251"/>
      <c r="T175" s="305" t="str">
        <f>IF(E175="■","091299","")</f>
        <v/>
      </c>
      <c r="U175" s="306"/>
      <c r="V175" s="324"/>
    </row>
    <row r="176" spans="1:22">
      <c r="A176" s="220"/>
      <c r="B176" s="234"/>
      <c r="C176" s="235">
        <v>13</v>
      </c>
      <c r="D176" s="236" t="s">
        <v>535</v>
      </c>
      <c r="E176" s="88" t="s">
        <v>768</v>
      </c>
      <c r="F176" s="237">
        <v>1</v>
      </c>
      <c r="G176" s="254" t="s">
        <v>536</v>
      </c>
      <c r="H176" s="239"/>
      <c r="I176" s="106" t="s">
        <v>768</v>
      </c>
      <c r="J176" s="240">
        <v>2</v>
      </c>
      <c r="K176" s="241" t="s">
        <v>537</v>
      </c>
      <c r="L176" s="242"/>
      <c r="M176" s="106" t="s">
        <v>768</v>
      </c>
      <c r="N176" s="240">
        <v>3</v>
      </c>
      <c r="O176" s="241" t="s">
        <v>538</v>
      </c>
      <c r="P176" s="242"/>
      <c r="Q176" s="244"/>
      <c r="R176" s="774"/>
      <c r="S176" s="251"/>
      <c r="T176" s="301" t="str">
        <f>IF(E176="■","091301","")</f>
        <v/>
      </c>
      <c r="U176" s="302" t="str">
        <f>IF(I176="■","091302","")</f>
        <v/>
      </c>
      <c r="V176" s="322" t="str">
        <f>IF(M176="■","091303","")</f>
        <v/>
      </c>
    </row>
    <row r="177" spans="1:22">
      <c r="A177" s="220"/>
      <c r="B177" s="234"/>
      <c r="C177" s="216"/>
      <c r="D177" s="205"/>
      <c r="E177" s="259" t="b">
        <v>0</v>
      </c>
      <c r="F177" s="217"/>
      <c r="G177" s="208"/>
      <c r="H177" s="202"/>
      <c r="I177" s="247"/>
      <c r="J177" s="209"/>
      <c r="K177" s="210"/>
      <c r="L177" s="211"/>
      <c r="M177" s="225"/>
      <c r="N177" s="209"/>
      <c r="O177" s="210"/>
      <c r="P177" s="211"/>
      <c r="Q177" s="212"/>
      <c r="R177" s="774"/>
      <c r="S177" s="187"/>
      <c r="T177" s="303"/>
      <c r="U177" s="304"/>
      <c r="V177" s="323"/>
    </row>
    <row r="178" spans="1:22">
      <c r="A178" s="220"/>
      <c r="B178" s="221"/>
      <c r="C178" s="216"/>
      <c r="D178" s="222"/>
      <c r="E178" s="259" t="b">
        <v>0</v>
      </c>
      <c r="F178" s="217"/>
      <c r="G178" s="208"/>
      <c r="H178" s="202"/>
      <c r="I178" s="247"/>
      <c r="J178" s="209"/>
      <c r="K178" s="210"/>
      <c r="L178" s="211"/>
      <c r="M178" s="225"/>
      <c r="N178" s="209"/>
      <c r="O178" s="210"/>
      <c r="P178" s="211"/>
      <c r="Q178" s="212"/>
      <c r="R178" s="774"/>
      <c r="S178" s="187"/>
      <c r="T178" s="303"/>
      <c r="U178" s="304"/>
      <c r="V178" s="323"/>
    </row>
    <row r="179" spans="1:22">
      <c r="A179" s="220"/>
      <c r="B179" s="221"/>
      <c r="C179" s="226"/>
      <c r="D179" s="227"/>
      <c r="E179" s="105" t="s">
        <v>768</v>
      </c>
      <c r="F179" s="228">
        <v>99</v>
      </c>
      <c r="G179" s="250" t="s">
        <v>539</v>
      </c>
      <c r="H179" s="230"/>
      <c r="I179" s="231" t="s">
        <v>50</v>
      </c>
      <c r="J179" s="778"/>
      <c r="K179" s="778"/>
      <c r="L179" s="778"/>
      <c r="M179" s="778"/>
      <c r="N179" s="778"/>
      <c r="O179" s="778"/>
      <c r="P179" s="778"/>
      <c r="Q179" s="232" t="s">
        <v>51</v>
      </c>
      <c r="R179" s="233" t="str">
        <f>IF(E179="■","←必須","")</f>
        <v/>
      </c>
      <c r="S179" s="251"/>
      <c r="T179" s="305" t="str">
        <f>IF(E179="■","091399","")</f>
        <v/>
      </c>
      <c r="U179" s="306"/>
      <c r="V179" s="324"/>
    </row>
    <row r="180" spans="1:22">
      <c r="A180" s="220"/>
      <c r="B180" s="234"/>
      <c r="C180" s="235">
        <v>14</v>
      </c>
      <c r="D180" s="236" t="s">
        <v>465</v>
      </c>
      <c r="E180" s="88" t="s">
        <v>768</v>
      </c>
      <c r="F180" s="237">
        <v>1</v>
      </c>
      <c r="G180" s="261" t="s">
        <v>642</v>
      </c>
      <c r="H180" s="239"/>
      <c r="I180" s="106" t="s">
        <v>768</v>
      </c>
      <c r="J180" s="240">
        <v>2</v>
      </c>
      <c r="K180" s="271" t="s">
        <v>647</v>
      </c>
      <c r="L180" s="242"/>
      <c r="M180" s="260" t="b">
        <v>0</v>
      </c>
      <c r="N180" s="240"/>
      <c r="O180" s="241"/>
      <c r="P180" s="242"/>
      <c r="Q180" s="244"/>
      <c r="R180" s="774"/>
      <c r="S180" s="251"/>
      <c r="T180" s="301" t="str">
        <f>IF(E180="■","091401","")</f>
        <v/>
      </c>
      <c r="U180" s="302" t="str">
        <f>IF(I180="■","091402","")</f>
        <v/>
      </c>
      <c r="V180" s="322"/>
    </row>
    <row r="181" spans="1:22">
      <c r="A181" s="220"/>
      <c r="B181" s="234"/>
      <c r="C181" s="216"/>
      <c r="D181" s="205"/>
      <c r="E181" s="259" t="b">
        <v>0</v>
      </c>
      <c r="F181" s="217"/>
      <c r="G181" s="208"/>
      <c r="H181" s="202"/>
      <c r="I181" s="247" t="b">
        <v>0</v>
      </c>
      <c r="J181" s="209"/>
      <c r="K181" s="210"/>
      <c r="L181" s="211"/>
      <c r="M181" s="225" t="b">
        <v>0</v>
      </c>
      <c r="N181" s="209"/>
      <c r="O181" s="210"/>
      <c r="P181" s="211"/>
      <c r="Q181" s="212"/>
      <c r="R181" s="774"/>
      <c r="T181" s="303"/>
      <c r="U181" s="304"/>
      <c r="V181" s="323"/>
    </row>
    <row r="182" spans="1:22">
      <c r="A182" s="220"/>
      <c r="B182" s="221"/>
      <c r="C182" s="216"/>
      <c r="D182" s="222"/>
      <c r="E182" s="259" t="b">
        <v>0</v>
      </c>
      <c r="F182" s="217"/>
      <c r="G182" s="208"/>
      <c r="H182" s="202"/>
      <c r="I182" s="247" t="b">
        <v>0</v>
      </c>
      <c r="J182" s="209"/>
      <c r="K182" s="210"/>
      <c r="L182" s="211"/>
      <c r="M182" s="225" t="b">
        <v>0</v>
      </c>
      <c r="N182" s="209"/>
      <c r="O182" s="210"/>
      <c r="P182" s="211"/>
      <c r="Q182" s="212"/>
      <c r="R182" s="774"/>
      <c r="T182" s="303"/>
      <c r="U182" s="304"/>
      <c r="V182" s="323"/>
    </row>
    <row r="183" spans="1:22" ht="14.25" thickBot="1">
      <c r="A183" s="262"/>
      <c r="B183" s="263"/>
      <c r="C183" s="264"/>
      <c r="D183" s="265"/>
      <c r="E183" s="107" t="s">
        <v>768</v>
      </c>
      <c r="F183" s="266">
        <v>99</v>
      </c>
      <c r="G183" s="272" t="s">
        <v>53</v>
      </c>
      <c r="H183" s="268"/>
      <c r="I183" s="269" t="s">
        <v>50</v>
      </c>
      <c r="J183" s="782"/>
      <c r="K183" s="782"/>
      <c r="L183" s="782"/>
      <c r="M183" s="782"/>
      <c r="N183" s="782"/>
      <c r="O183" s="782"/>
      <c r="P183" s="782"/>
      <c r="Q183" s="270" t="s">
        <v>51</v>
      </c>
      <c r="R183" s="233" t="str">
        <f>IF(E183="■","←必須","")</f>
        <v/>
      </c>
      <c r="S183" s="251"/>
      <c r="T183" s="305" t="str">
        <f>IF(E183="■","091499","")</f>
        <v/>
      </c>
      <c r="U183" s="306"/>
      <c r="V183" s="324"/>
    </row>
    <row r="184" spans="1:22">
      <c r="Q184" s="208"/>
      <c r="R184" s="251"/>
      <c r="S184" s="251"/>
    </row>
  </sheetData>
  <sheetProtection selectLockedCells="1"/>
  <mergeCells count="96">
    <mergeCell ref="J183:P183"/>
    <mergeCell ref="R160:R162"/>
    <mergeCell ref="J163:P163"/>
    <mergeCell ref="R164:R166"/>
    <mergeCell ref="J167:P167"/>
    <mergeCell ref="R168:R170"/>
    <mergeCell ref="J171:P171"/>
    <mergeCell ref="R172:R174"/>
    <mergeCell ref="J175:P175"/>
    <mergeCell ref="R176:R178"/>
    <mergeCell ref="J179:P179"/>
    <mergeCell ref="R180:R182"/>
    <mergeCell ref="J159:P159"/>
    <mergeCell ref="R136:R138"/>
    <mergeCell ref="J139:P139"/>
    <mergeCell ref="R140:R142"/>
    <mergeCell ref="J143:P143"/>
    <mergeCell ref="R144:R146"/>
    <mergeCell ref="J147:P147"/>
    <mergeCell ref="R148:R150"/>
    <mergeCell ref="J151:P151"/>
    <mergeCell ref="R152:R154"/>
    <mergeCell ref="J155:P155"/>
    <mergeCell ref="R156:R158"/>
    <mergeCell ref="B108:B109"/>
    <mergeCell ref="R108:R110"/>
    <mergeCell ref="J135:P135"/>
    <mergeCell ref="R112:R114"/>
    <mergeCell ref="J115:P115"/>
    <mergeCell ref="R116:R118"/>
    <mergeCell ref="J119:P119"/>
    <mergeCell ref="R120:R122"/>
    <mergeCell ref="J123:P123"/>
    <mergeCell ref="R124:R126"/>
    <mergeCell ref="J127:P127"/>
    <mergeCell ref="R128:R130"/>
    <mergeCell ref="J131:P131"/>
    <mergeCell ref="R132:R134"/>
    <mergeCell ref="J111:P111"/>
    <mergeCell ref="R104:R106"/>
    <mergeCell ref="J79:P79"/>
    <mergeCell ref="J107:P107"/>
    <mergeCell ref="B80:B81"/>
    <mergeCell ref="R80:R82"/>
    <mergeCell ref="J83:P83"/>
    <mergeCell ref="R84:R86"/>
    <mergeCell ref="J87:P87"/>
    <mergeCell ref="R88:R90"/>
    <mergeCell ref="J91:P91"/>
    <mergeCell ref="R92:R94"/>
    <mergeCell ref="J95:P95"/>
    <mergeCell ref="R96:R98"/>
    <mergeCell ref="J99:P99"/>
    <mergeCell ref="R64:R66"/>
    <mergeCell ref="J75:P75"/>
    <mergeCell ref="R76:R78"/>
    <mergeCell ref="R100:R102"/>
    <mergeCell ref="J103:P103"/>
    <mergeCell ref="R68:R70"/>
    <mergeCell ref="J71:P71"/>
    <mergeCell ref="R72:R74"/>
    <mergeCell ref="J67:P67"/>
    <mergeCell ref="J55:P55"/>
    <mergeCell ref="R56:R58"/>
    <mergeCell ref="J59:P59"/>
    <mergeCell ref="R60:R62"/>
    <mergeCell ref="J63:P63"/>
    <mergeCell ref="R44:R46"/>
    <mergeCell ref="J47:P47"/>
    <mergeCell ref="R48:R50"/>
    <mergeCell ref="J51:P51"/>
    <mergeCell ref="R52:R54"/>
    <mergeCell ref="J43:P43"/>
    <mergeCell ref="J23:P23"/>
    <mergeCell ref="R24:R26"/>
    <mergeCell ref="J27:P27"/>
    <mergeCell ref="R28:R30"/>
    <mergeCell ref="J31:P31"/>
    <mergeCell ref="R32:R34"/>
    <mergeCell ref="J35:P35"/>
    <mergeCell ref="R36:R38"/>
    <mergeCell ref="J39:P39"/>
    <mergeCell ref="R40:R42"/>
    <mergeCell ref="O41:P41"/>
    <mergeCell ref="R20:R22"/>
    <mergeCell ref="B3:B4"/>
    <mergeCell ref="R3:R5"/>
    <mergeCell ref="S6:S7"/>
    <mergeCell ref="R7:R10"/>
    <mergeCell ref="J11:P11"/>
    <mergeCell ref="R12:R14"/>
    <mergeCell ref="J15:P15"/>
    <mergeCell ref="B16:B17"/>
    <mergeCell ref="R16:R18"/>
    <mergeCell ref="J19:P19"/>
    <mergeCell ref="J6:P6"/>
  </mergeCells>
  <phoneticPr fontId="2"/>
  <conditionalFormatting sqref="J7:J10 J12:J14 J16:J18 J20:J22 J24:J26 J28:J30 J32:J34 J36:J38 J54 J58 J68:J70 J74 J86 J90 J98 J110 J118 J126 J128:J130 J134 J138 J141:J142 J146 J149:J150 J154 J174 J177:J178 N12:N14 N16:N18 N20:N22 N24:N26 N28:N30 N32:N34 N36:N38 N42 N53:N54 N58 N66 N68:N70 N74 N86 N90 N98 N102 N110 N114 N117:N118 N125:N126 N128:N130 N134 N137:N138 N140:N142 N146 N149:N150 N154 N173:N174 N177:N178 F3:F9 J3:J4 F11:F35 F54 F58 F67:F71 F74 F86 F118 F126:F131 F150 F174 F90 F134 F138 F141:F142 F154 F177:F178 N3:N5 N7:N10">
    <cfRule type="expression" dxfId="222" priority="162" stopIfTrue="1">
      <formula>E3="■"</formula>
    </cfRule>
  </conditionalFormatting>
  <conditionalFormatting sqref="J87:P87 J23:P23">
    <cfRule type="cellIs" dxfId="221" priority="163" stopIfTrue="1" operator="notEqual">
      <formula>""</formula>
    </cfRule>
  </conditionalFormatting>
  <conditionalFormatting sqref="J181:J182 N180:N182 F181:F182">
    <cfRule type="expression" dxfId="220" priority="161" stopIfTrue="1">
      <formula>E180=TRUE</formula>
    </cfRule>
  </conditionalFormatting>
  <conditionalFormatting sqref="J83:P83">
    <cfRule type="cellIs" dxfId="219" priority="159" stopIfTrue="1" operator="notEqual">
      <formula>""</formula>
    </cfRule>
  </conditionalFormatting>
  <conditionalFormatting sqref="J91:P91">
    <cfRule type="cellIs" dxfId="218" priority="158" stopIfTrue="1" operator="notEqual">
      <formula>""</formula>
    </cfRule>
  </conditionalFormatting>
  <conditionalFormatting sqref="J95:P95">
    <cfRule type="cellIs" dxfId="217" priority="157" stopIfTrue="1" operator="notEqual">
      <formula>""</formula>
    </cfRule>
  </conditionalFormatting>
  <conditionalFormatting sqref="J99:P99">
    <cfRule type="cellIs" dxfId="216" priority="156" stopIfTrue="1" operator="notEqual">
      <formula>""</formula>
    </cfRule>
  </conditionalFormatting>
  <conditionalFormatting sqref="J103:P103">
    <cfRule type="cellIs" dxfId="215" priority="155" stopIfTrue="1" operator="notEqual">
      <formula>""</formula>
    </cfRule>
  </conditionalFormatting>
  <conditionalFormatting sqref="J107:P107">
    <cfRule type="cellIs" dxfId="214" priority="154" stopIfTrue="1" operator="notEqual">
      <formula>""</formula>
    </cfRule>
  </conditionalFormatting>
  <conditionalFormatting sqref="J111:P111">
    <cfRule type="cellIs" dxfId="213" priority="153" stopIfTrue="1" operator="notEqual">
      <formula>""</formula>
    </cfRule>
  </conditionalFormatting>
  <conditionalFormatting sqref="J115:P115">
    <cfRule type="cellIs" dxfId="212" priority="152" stopIfTrue="1" operator="notEqual">
      <formula>""</formula>
    </cfRule>
  </conditionalFormatting>
  <conditionalFormatting sqref="J119:P119">
    <cfRule type="cellIs" dxfId="211" priority="151" stopIfTrue="1" operator="notEqual">
      <formula>""</formula>
    </cfRule>
  </conditionalFormatting>
  <conditionalFormatting sqref="J123:P123">
    <cfRule type="cellIs" dxfId="210" priority="150" stopIfTrue="1" operator="notEqual">
      <formula>""</formula>
    </cfRule>
  </conditionalFormatting>
  <conditionalFormatting sqref="J127:P127">
    <cfRule type="cellIs" dxfId="209" priority="149" stopIfTrue="1" operator="notEqual">
      <formula>""</formula>
    </cfRule>
  </conditionalFormatting>
  <conditionalFormatting sqref="J131:P131">
    <cfRule type="cellIs" dxfId="208" priority="148" stopIfTrue="1" operator="notEqual">
      <formula>""</formula>
    </cfRule>
  </conditionalFormatting>
  <conditionalFormatting sqref="J135:P135">
    <cfRule type="cellIs" dxfId="207" priority="147" stopIfTrue="1" operator="notEqual">
      <formula>""</formula>
    </cfRule>
  </conditionalFormatting>
  <conditionalFormatting sqref="J139:P139">
    <cfRule type="cellIs" dxfId="206" priority="146" stopIfTrue="1" operator="notEqual">
      <formula>""</formula>
    </cfRule>
  </conditionalFormatting>
  <conditionalFormatting sqref="J143:P143">
    <cfRule type="cellIs" dxfId="205" priority="145" stopIfTrue="1" operator="notEqual">
      <formula>""</formula>
    </cfRule>
  </conditionalFormatting>
  <conditionalFormatting sqref="J147:P147">
    <cfRule type="cellIs" dxfId="204" priority="144" stopIfTrue="1" operator="notEqual">
      <formula>""</formula>
    </cfRule>
  </conditionalFormatting>
  <conditionalFormatting sqref="J151:P151">
    <cfRule type="cellIs" dxfId="203" priority="143" stopIfTrue="1" operator="notEqual">
      <formula>""</formula>
    </cfRule>
  </conditionalFormatting>
  <conditionalFormatting sqref="J155:P155">
    <cfRule type="cellIs" dxfId="202" priority="142" stopIfTrue="1" operator="notEqual">
      <formula>""</formula>
    </cfRule>
  </conditionalFormatting>
  <conditionalFormatting sqref="J159:P159">
    <cfRule type="cellIs" dxfId="201" priority="141" stopIfTrue="1" operator="notEqual">
      <formula>""</formula>
    </cfRule>
  </conditionalFormatting>
  <conditionalFormatting sqref="J163:P163">
    <cfRule type="cellIs" dxfId="200" priority="140" stopIfTrue="1" operator="notEqual">
      <formula>""</formula>
    </cfRule>
  </conditionalFormatting>
  <conditionalFormatting sqref="J167:P167">
    <cfRule type="cellIs" dxfId="199" priority="139" stopIfTrue="1" operator="notEqual">
      <formula>""</formula>
    </cfRule>
  </conditionalFormatting>
  <conditionalFormatting sqref="J171:P171">
    <cfRule type="cellIs" dxfId="198" priority="138" stopIfTrue="1" operator="notEqual">
      <formula>""</formula>
    </cfRule>
  </conditionalFormatting>
  <conditionalFormatting sqref="J175:P175">
    <cfRule type="cellIs" dxfId="197" priority="137" stopIfTrue="1" operator="notEqual">
      <formula>""</formula>
    </cfRule>
  </conditionalFormatting>
  <conditionalFormatting sqref="J179:P179">
    <cfRule type="cellIs" dxfId="196" priority="136" stopIfTrue="1" operator="notEqual">
      <formula>""</formula>
    </cfRule>
  </conditionalFormatting>
  <conditionalFormatting sqref="J183:P183">
    <cfRule type="cellIs" dxfId="195" priority="135" stopIfTrue="1" operator="notEqual">
      <formula>""</formula>
    </cfRule>
  </conditionalFormatting>
  <conditionalFormatting sqref="J11:P11">
    <cfRule type="cellIs" dxfId="194" priority="134" stopIfTrue="1" operator="notEqual">
      <formula>""</formula>
    </cfRule>
  </conditionalFormatting>
  <conditionalFormatting sqref="J15:P15">
    <cfRule type="cellIs" dxfId="193" priority="133" stopIfTrue="1" operator="notEqual">
      <formula>""</formula>
    </cfRule>
  </conditionalFormatting>
  <conditionalFormatting sqref="J19:P19">
    <cfRule type="cellIs" dxfId="192" priority="132" stopIfTrue="1" operator="notEqual">
      <formula>""</formula>
    </cfRule>
  </conditionalFormatting>
  <conditionalFormatting sqref="J27:P27">
    <cfRule type="cellIs" dxfId="191" priority="131" stopIfTrue="1" operator="notEqual">
      <formula>""</formula>
    </cfRule>
  </conditionalFormatting>
  <conditionalFormatting sqref="J31:P31">
    <cfRule type="cellIs" dxfId="190" priority="130" stopIfTrue="1" operator="notEqual">
      <formula>""</formula>
    </cfRule>
  </conditionalFormatting>
  <conditionalFormatting sqref="J39:P39">
    <cfRule type="cellIs" dxfId="189" priority="129" stopIfTrue="1" operator="notEqual">
      <formula>""</formula>
    </cfRule>
  </conditionalFormatting>
  <conditionalFormatting sqref="J35:P35">
    <cfRule type="cellIs" dxfId="188" priority="128" stopIfTrue="1" operator="notEqual">
      <formula>""</formula>
    </cfRule>
  </conditionalFormatting>
  <conditionalFormatting sqref="J43:P43">
    <cfRule type="cellIs" dxfId="187" priority="127" stopIfTrue="1" operator="notEqual">
      <formula>""</formula>
    </cfRule>
  </conditionalFormatting>
  <conditionalFormatting sqref="J47:P47">
    <cfRule type="cellIs" dxfId="186" priority="126" stopIfTrue="1" operator="notEqual">
      <formula>""</formula>
    </cfRule>
  </conditionalFormatting>
  <conditionalFormatting sqref="J51:P51">
    <cfRule type="cellIs" dxfId="185" priority="125" stopIfTrue="1" operator="notEqual">
      <formula>""</formula>
    </cfRule>
  </conditionalFormatting>
  <conditionalFormatting sqref="J55:P55">
    <cfRule type="cellIs" dxfId="184" priority="124" stopIfTrue="1" operator="notEqual">
      <formula>""</formula>
    </cfRule>
  </conditionalFormatting>
  <conditionalFormatting sqref="J59:P59">
    <cfRule type="cellIs" dxfId="183" priority="123" stopIfTrue="1" operator="notEqual">
      <formula>""</formula>
    </cfRule>
  </conditionalFormatting>
  <conditionalFormatting sqref="J63:P63">
    <cfRule type="cellIs" dxfId="182" priority="122" stopIfTrue="1" operator="notEqual">
      <formula>""</formula>
    </cfRule>
  </conditionalFormatting>
  <conditionalFormatting sqref="J67:P67">
    <cfRule type="cellIs" dxfId="181" priority="121" stopIfTrue="1" operator="notEqual">
      <formula>""</formula>
    </cfRule>
  </conditionalFormatting>
  <conditionalFormatting sqref="J71:P71">
    <cfRule type="cellIs" dxfId="180" priority="120" stopIfTrue="1" operator="notEqual">
      <formula>""</formula>
    </cfRule>
  </conditionalFormatting>
  <conditionalFormatting sqref="J75:P75">
    <cfRule type="cellIs" dxfId="179" priority="119" stopIfTrue="1" operator="notEqual">
      <formula>""</formula>
    </cfRule>
  </conditionalFormatting>
  <conditionalFormatting sqref="J79:P79">
    <cfRule type="cellIs" dxfId="178" priority="118" stopIfTrue="1" operator="notEqual">
      <formula>""</formula>
    </cfRule>
  </conditionalFormatting>
  <conditionalFormatting sqref="I5">
    <cfRule type="expression" dxfId="177" priority="164" stopIfTrue="1">
      <formula>#REF!=TRUE</formula>
    </cfRule>
  </conditionalFormatting>
  <conditionalFormatting sqref="F10">
    <cfRule type="expression" dxfId="176" priority="117" stopIfTrue="1">
      <formula>E10="■"</formula>
    </cfRule>
  </conditionalFormatting>
  <conditionalFormatting sqref="F36:F39">
    <cfRule type="expression" dxfId="175" priority="116" stopIfTrue="1">
      <formula>E36="■"</formula>
    </cfRule>
  </conditionalFormatting>
  <conditionalFormatting sqref="F40:F43">
    <cfRule type="expression" dxfId="174" priority="115" stopIfTrue="1">
      <formula>E40="■"</formula>
    </cfRule>
  </conditionalFormatting>
  <conditionalFormatting sqref="F44:F47">
    <cfRule type="expression" dxfId="173" priority="114" stopIfTrue="1">
      <formula>E44="■"</formula>
    </cfRule>
  </conditionalFormatting>
  <conditionalFormatting sqref="F48:F51">
    <cfRule type="expression" dxfId="172" priority="113" stopIfTrue="1">
      <formula>E48="■"</formula>
    </cfRule>
  </conditionalFormatting>
  <conditionalFormatting sqref="F52:F53">
    <cfRule type="expression" dxfId="171" priority="112" stopIfTrue="1">
      <formula>E52="■"</formula>
    </cfRule>
  </conditionalFormatting>
  <conditionalFormatting sqref="F56:F57">
    <cfRule type="expression" dxfId="170" priority="111" stopIfTrue="1">
      <formula>E56="■"</formula>
    </cfRule>
  </conditionalFormatting>
  <conditionalFormatting sqref="F60:F63">
    <cfRule type="expression" dxfId="169" priority="110" stopIfTrue="1">
      <formula>E60="■"</formula>
    </cfRule>
  </conditionalFormatting>
  <conditionalFormatting sqref="F55">
    <cfRule type="expression" dxfId="168" priority="109" stopIfTrue="1">
      <formula>E55="■"</formula>
    </cfRule>
  </conditionalFormatting>
  <conditionalFormatting sqref="F59">
    <cfRule type="expression" dxfId="167" priority="108" stopIfTrue="1">
      <formula>E59="■"</formula>
    </cfRule>
  </conditionalFormatting>
  <conditionalFormatting sqref="F64:F66">
    <cfRule type="expression" dxfId="166" priority="107" stopIfTrue="1">
      <formula>E64="■"</formula>
    </cfRule>
  </conditionalFormatting>
  <conditionalFormatting sqref="J40:J42">
    <cfRule type="expression" dxfId="165" priority="106" stopIfTrue="1">
      <formula>I40="■"</formula>
    </cfRule>
  </conditionalFormatting>
  <conditionalFormatting sqref="J44:J46">
    <cfRule type="expression" dxfId="164" priority="105" stopIfTrue="1">
      <formula>I44="■"</formula>
    </cfRule>
  </conditionalFormatting>
  <conditionalFormatting sqref="J48:J50">
    <cfRule type="expression" dxfId="163" priority="104" stopIfTrue="1">
      <formula>I48="■"</formula>
    </cfRule>
  </conditionalFormatting>
  <conditionalFormatting sqref="J60:J62">
    <cfRule type="expression" dxfId="162" priority="103" stopIfTrue="1">
      <formula>I60="■"</formula>
    </cfRule>
  </conditionalFormatting>
  <conditionalFormatting sqref="J64:J66">
    <cfRule type="expression" dxfId="161" priority="102" stopIfTrue="1">
      <formula>I64="■"</formula>
    </cfRule>
  </conditionalFormatting>
  <conditionalFormatting sqref="J52:J53">
    <cfRule type="expression" dxfId="160" priority="101" stopIfTrue="1">
      <formula>I52="■"</formula>
    </cfRule>
  </conditionalFormatting>
  <conditionalFormatting sqref="J56:J57">
    <cfRule type="expression" dxfId="159" priority="100" stopIfTrue="1">
      <formula>I56="■"</formula>
    </cfRule>
  </conditionalFormatting>
  <conditionalFormatting sqref="N44:N46">
    <cfRule type="expression" dxfId="158" priority="99" stopIfTrue="1">
      <formula>M44="■"</formula>
    </cfRule>
  </conditionalFormatting>
  <conditionalFormatting sqref="N48:N50">
    <cfRule type="expression" dxfId="157" priority="98" stopIfTrue="1">
      <formula>M48="■"</formula>
    </cfRule>
  </conditionalFormatting>
  <conditionalFormatting sqref="N60:N62">
    <cfRule type="expression" dxfId="156" priority="97" stopIfTrue="1">
      <formula>M60="■"</formula>
    </cfRule>
  </conditionalFormatting>
  <conditionalFormatting sqref="N64:N65">
    <cfRule type="expression" dxfId="155" priority="96" stopIfTrue="1">
      <formula>M64="■"</formula>
    </cfRule>
  </conditionalFormatting>
  <conditionalFormatting sqref="N56:N57">
    <cfRule type="expression" dxfId="154" priority="95" stopIfTrue="1">
      <formula>M56="■"</formula>
    </cfRule>
  </conditionalFormatting>
  <conditionalFormatting sqref="N40:N41">
    <cfRule type="expression" dxfId="153" priority="94" stopIfTrue="1">
      <formula>M40="■"</formula>
    </cfRule>
  </conditionalFormatting>
  <conditionalFormatting sqref="N52">
    <cfRule type="expression" dxfId="152" priority="93" stopIfTrue="1">
      <formula>M52="■"</formula>
    </cfRule>
  </conditionalFormatting>
  <conditionalFormatting sqref="F72:F73">
    <cfRule type="expression" dxfId="151" priority="92" stopIfTrue="1">
      <formula>E72="■"</formula>
    </cfRule>
  </conditionalFormatting>
  <conditionalFormatting sqref="J72:J73">
    <cfRule type="expression" dxfId="150" priority="91" stopIfTrue="1">
      <formula>I72="■"</formula>
    </cfRule>
  </conditionalFormatting>
  <conditionalFormatting sqref="N72:N73">
    <cfRule type="expression" dxfId="149" priority="90" stopIfTrue="1">
      <formula>M72="■"</formula>
    </cfRule>
  </conditionalFormatting>
  <conditionalFormatting sqref="F75">
    <cfRule type="expression" dxfId="148" priority="89" stopIfTrue="1">
      <formula>E75="■"</formula>
    </cfRule>
  </conditionalFormatting>
  <conditionalFormatting sqref="F76:F79">
    <cfRule type="expression" dxfId="147" priority="88" stopIfTrue="1">
      <formula>E76="■"</formula>
    </cfRule>
  </conditionalFormatting>
  <conditionalFormatting sqref="F80:F83">
    <cfRule type="expression" dxfId="146" priority="87" stopIfTrue="1">
      <formula>E80="■"</formula>
    </cfRule>
  </conditionalFormatting>
  <conditionalFormatting sqref="F92:F95">
    <cfRule type="expression" dxfId="145" priority="86" stopIfTrue="1">
      <formula>E92="■"</formula>
    </cfRule>
  </conditionalFormatting>
  <conditionalFormatting sqref="F96:F99">
    <cfRule type="expression" dxfId="144" priority="85" stopIfTrue="1">
      <formula>E96="■"</formula>
    </cfRule>
  </conditionalFormatting>
  <conditionalFormatting sqref="F100:F103">
    <cfRule type="expression" dxfId="143" priority="84" stopIfTrue="1">
      <formula>E100="■"</formula>
    </cfRule>
  </conditionalFormatting>
  <conditionalFormatting sqref="F104:F107">
    <cfRule type="expression" dxfId="142" priority="83" stopIfTrue="1">
      <formula>E104="■"</formula>
    </cfRule>
  </conditionalFormatting>
  <conditionalFormatting sqref="F108:F111">
    <cfRule type="expression" dxfId="141" priority="82" stopIfTrue="1">
      <formula>E108="■"</formula>
    </cfRule>
  </conditionalFormatting>
  <conditionalFormatting sqref="F112:F115">
    <cfRule type="expression" dxfId="140" priority="81" stopIfTrue="1">
      <formula>E112="■"</formula>
    </cfRule>
  </conditionalFormatting>
  <conditionalFormatting sqref="F120:F123">
    <cfRule type="expression" dxfId="139" priority="80" stopIfTrue="1">
      <formula>E120="■"</formula>
    </cfRule>
  </conditionalFormatting>
  <conditionalFormatting sqref="F144:F147">
    <cfRule type="expression" dxfId="138" priority="79" stopIfTrue="1">
      <formula>E144="■"</formula>
    </cfRule>
  </conditionalFormatting>
  <conditionalFormatting sqref="F156:F159">
    <cfRule type="expression" dxfId="137" priority="78" stopIfTrue="1">
      <formula>E156="■"</formula>
    </cfRule>
  </conditionalFormatting>
  <conditionalFormatting sqref="F160:F163">
    <cfRule type="expression" dxfId="136" priority="77" stopIfTrue="1">
      <formula>E160="■"</formula>
    </cfRule>
  </conditionalFormatting>
  <conditionalFormatting sqref="F164:F167">
    <cfRule type="expression" dxfId="135" priority="76" stopIfTrue="1">
      <formula>E164="■"</formula>
    </cfRule>
  </conditionalFormatting>
  <conditionalFormatting sqref="F168:F171">
    <cfRule type="expression" dxfId="134" priority="75" stopIfTrue="1">
      <formula>E168="■"</formula>
    </cfRule>
  </conditionalFormatting>
  <conditionalFormatting sqref="J76:J78">
    <cfRule type="expression" dxfId="133" priority="74" stopIfTrue="1">
      <formula>I76="■"</formula>
    </cfRule>
  </conditionalFormatting>
  <conditionalFormatting sqref="J80:J82">
    <cfRule type="expression" dxfId="132" priority="73" stopIfTrue="1">
      <formula>I80="■"</formula>
    </cfRule>
  </conditionalFormatting>
  <conditionalFormatting sqref="J92:J94">
    <cfRule type="expression" dxfId="131" priority="72" stopIfTrue="1">
      <formula>I92="■"</formula>
    </cfRule>
  </conditionalFormatting>
  <conditionalFormatting sqref="J100:J102">
    <cfRule type="expression" dxfId="130" priority="71" stopIfTrue="1">
      <formula>I100="■"</formula>
    </cfRule>
  </conditionalFormatting>
  <conditionalFormatting sqref="J104:J106">
    <cfRule type="expression" dxfId="129" priority="70" stopIfTrue="1">
      <formula>I104="■"</formula>
    </cfRule>
  </conditionalFormatting>
  <conditionalFormatting sqref="J112:J114">
    <cfRule type="expression" dxfId="128" priority="69" stopIfTrue="1">
      <formula>I112="■"</formula>
    </cfRule>
  </conditionalFormatting>
  <conditionalFormatting sqref="J120:J122">
    <cfRule type="expression" dxfId="127" priority="68" stopIfTrue="1">
      <formula>I120="■"</formula>
    </cfRule>
  </conditionalFormatting>
  <conditionalFormatting sqref="J156:J158">
    <cfRule type="expression" dxfId="126" priority="67" stopIfTrue="1">
      <formula>I156="■"</formula>
    </cfRule>
  </conditionalFormatting>
  <conditionalFormatting sqref="J160:J162">
    <cfRule type="expression" dxfId="125" priority="66" stopIfTrue="1">
      <formula>I160="■"</formula>
    </cfRule>
  </conditionalFormatting>
  <conditionalFormatting sqref="J164:J166">
    <cfRule type="expression" dxfId="124" priority="65" stopIfTrue="1">
      <formula>I164="■"</formula>
    </cfRule>
  </conditionalFormatting>
  <conditionalFormatting sqref="J168:J170">
    <cfRule type="expression" dxfId="123" priority="64" stopIfTrue="1">
      <formula>I168="■"</formula>
    </cfRule>
  </conditionalFormatting>
  <conditionalFormatting sqref="N76:N78">
    <cfRule type="expression" dxfId="122" priority="63" stopIfTrue="1">
      <formula>M76="■"</formula>
    </cfRule>
  </conditionalFormatting>
  <conditionalFormatting sqref="N80:N82">
    <cfRule type="expression" dxfId="121" priority="62" stopIfTrue="1">
      <formula>M80="■"</formula>
    </cfRule>
  </conditionalFormatting>
  <conditionalFormatting sqref="N92:N94">
    <cfRule type="expression" dxfId="120" priority="61" stopIfTrue="1">
      <formula>M92="■"</formula>
    </cfRule>
  </conditionalFormatting>
  <conditionalFormatting sqref="N104:N106">
    <cfRule type="expression" dxfId="119" priority="60" stopIfTrue="1">
      <formula>M104="■"</formula>
    </cfRule>
  </conditionalFormatting>
  <conditionalFormatting sqref="N120:N122">
    <cfRule type="expression" dxfId="118" priority="59" stopIfTrue="1">
      <formula>M120="■"</formula>
    </cfRule>
  </conditionalFormatting>
  <conditionalFormatting sqref="N156:N158">
    <cfRule type="expression" dxfId="117" priority="58" stopIfTrue="1">
      <formula>M156="■"</formula>
    </cfRule>
  </conditionalFormatting>
  <conditionalFormatting sqref="N160:N162">
    <cfRule type="expression" dxfId="116" priority="57" stopIfTrue="1">
      <formula>M160="■"</formula>
    </cfRule>
  </conditionalFormatting>
  <conditionalFormatting sqref="N164:N166">
    <cfRule type="expression" dxfId="115" priority="56" stopIfTrue="1">
      <formula>M164="■"</formula>
    </cfRule>
  </conditionalFormatting>
  <conditionalFormatting sqref="N168:N170">
    <cfRule type="expression" dxfId="114" priority="55" stopIfTrue="1">
      <formula>M168="■"</formula>
    </cfRule>
  </conditionalFormatting>
  <conditionalFormatting sqref="F84:F85">
    <cfRule type="expression" dxfId="113" priority="54" stopIfTrue="1">
      <formula>E84="■"</formula>
    </cfRule>
  </conditionalFormatting>
  <conditionalFormatting sqref="F87">
    <cfRule type="expression" dxfId="112" priority="53" stopIfTrue="1">
      <formula>E87="■"</formula>
    </cfRule>
  </conditionalFormatting>
  <conditionalFormatting sqref="J84:J85">
    <cfRule type="expression" dxfId="111" priority="52" stopIfTrue="1">
      <formula>I84="■"</formula>
    </cfRule>
  </conditionalFormatting>
  <conditionalFormatting sqref="N84:N85">
    <cfRule type="expression" dxfId="110" priority="51" stopIfTrue="1">
      <formula>M84="■"</formula>
    </cfRule>
  </conditionalFormatting>
  <conditionalFormatting sqref="F88:F89">
    <cfRule type="expression" dxfId="109" priority="50" stopIfTrue="1">
      <formula>E88="■"</formula>
    </cfRule>
  </conditionalFormatting>
  <conditionalFormatting sqref="J88:J89">
    <cfRule type="expression" dxfId="108" priority="49" stopIfTrue="1">
      <formula>I88="■"</formula>
    </cfRule>
  </conditionalFormatting>
  <conditionalFormatting sqref="N88:N89">
    <cfRule type="expression" dxfId="107" priority="48" stopIfTrue="1">
      <formula>M88="■"</formula>
    </cfRule>
  </conditionalFormatting>
  <conditionalFormatting sqref="F91">
    <cfRule type="expression" dxfId="106" priority="47" stopIfTrue="1">
      <formula>E91="■"</formula>
    </cfRule>
  </conditionalFormatting>
  <conditionalFormatting sqref="J96:J97">
    <cfRule type="expression" dxfId="105" priority="46" stopIfTrue="1">
      <formula>I96="■"</formula>
    </cfRule>
  </conditionalFormatting>
  <conditionalFormatting sqref="N96:N97">
    <cfRule type="expression" dxfId="104" priority="45" stopIfTrue="1">
      <formula>M96="■"</formula>
    </cfRule>
  </conditionalFormatting>
  <conditionalFormatting sqref="N100:N101">
    <cfRule type="expression" dxfId="103" priority="44" stopIfTrue="1">
      <formula>M100="■"</formula>
    </cfRule>
  </conditionalFormatting>
  <conditionalFormatting sqref="J108:J109">
    <cfRule type="expression" dxfId="102" priority="43" stopIfTrue="1">
      <formula>I108="■"</formula>
    </cfRule>
  </conditionalFormatting>
  <conditionalFormatting sqref="N108:N109">
    <cfRule type="expression" dxfId="101" priority="42" stopIfTrue="1">
      <formula>M108="■"</formula>
    </cfRule>
  </conditionalFormatting>
  <conditionalFormatting sqref="N112:N113">
    <cfRule type="expression" dxfId="100" priority="41" stopIfTrue="1">
      <formula>M112="■"</formula>
    </cfRule>
  </conditionalFormatting>
  <conditionalFormatting sqref="J116:J117">
    <cfRule type="expression" dxfId="99" priority="40" stopIfTrue="1">
      <formula>I116="■"</formula>
    </cfRule>
  </conditionalFormatting>
  <conditionalFormatting sqref="F116:F117">
    <cfRule type="expression" dxfId="98" priority="39" stopIfTrue="1">
      <formula>E116="■"</formula>
    </cfRule>
  </conditionalFormatting>
  <conditionalFormatting sqref="F119">
    <cfRule type="expression" dxfId="97" priority="38" stopIfTrue="1">
      <formula>E119="■"</formula>
    </cfRule>
  </conditionalFormatting>
  <conditionalFormatting sqref="N116">
    <cfRule type="expression" dxfId="96" priority="37" stopIfTrue="1">
      <formula>M116="■"</formula>
    </cfRule>
  </conditionalFormatting>
  <conditionalFormatting sqref="N124">
    <cfRule type="expression" dxfId="95" priority="36" stopIfTrue="1">
      <formula>M124="■"</formula>
    </cfRule>
  </conditionalFormatting>
  <conditionalFormatting sqref="J124:J125">
    <cfRule type="expression" dxfId="94" priority="35" stopIfTrue="1">
      <formula>I124="■"</formula>
    </cfRule>
  </conditionalFormatting>
  <conditionalFormatting sqref="F124:F125">
    <cfRule type="expression" dxfId="93" priority="34" stopIfTrue="1">
      <formula>E124="■"</formula>
    </cfRule>
  </conditionalFormatting>
  <conditionalFormatting sqref="F132:F133">
    <cfRule type="expression" dxfId="92" priority="33" stopIfTrue="1">
      <formula>E132="■"</formula>
    </cfRule>
  </conditionalFormatting>
  <conditionalFormatting sqref="J132:J133">
    <cfRule type="expression" dxfId="91" priority="32" stopIfTrue="1">
      <formula>I132="■"</formula>
    </cfRule>
  </conditionalFormatting>
  <conditionalFormatting sqref="N132:N133">
    <cfRule type="expression" dxfId="90" priority="31" stopIfTrue="1">
      <formula>M132="■"</formula>
    </cfRule>
  </conditionalFormatting>
  <conditionalFormatting sqref="F135">
    <cfRule type="expression" dxfId="89" priority="30" stopIfTrue="1">
      <formula>E135="■"</formula>
    </cfRule>
  </conditionalFormatting>
  <conditionalFormatting sqref="F139">
    <cfRule type="expression" dxfId="88" priority="29" stopIfTrue="1">
      <formula>E139="■"</formula>
    </cfRule>
  </conditionalFormatting>
  <conditionalFormatting sqref="F143">
    <cfRule type="expression" dxfId="87" priority="28" stopIfTrue="1">
      <formula>E143="■"</formula>
    </cfRule>
  </conditionalFormatting>
  <conditionalFormatting sqref="F136:F137">
    <cfRule type="expression" dxfId="86" priority="27" stopIfTrue="1">
      <formula>E136="■"</formula>
    </cfRule>
  </conditionalFormatting>
  <conditionalFormatting sqref="J136:J137">
    <cfRule type="expression" dxfId="85" priority="26" stopIfTrue="1">
      <formula>I136="■"</formula>
    </cfRule>
  </conditionalFormatting>
  <conditionalFormatting sqref="N136">
    <cfRule type="expression" dxfId="84" priority="25" stopIfTrue="1">
      <formula>M136="■"</formula>
    </cfRule>
  </conditionalFormatting>
  <conditionalFormatting sqref="F140">
    <cfRule type="expression" dxfId="83" priority="24" stopIfTrue="1">
      <formula>E140="■"</formula>
    </cfRule>
  </conditionalFormatting>
  <conditionalFormatting sqref="J140">
    <cfRule type="expression" dxfId="82" priority="23" stopIfTrue="1">
      <formula>I140="■"</formula>
    </cfRule>
  </conditionalFormatting>
  <conditionalFormatting sqref="J144:J145">
    <cfRule type="expression" dxfId="81" priority="22" stopIfTrue="1">
      <formula>I144="■"</formula>
    </cfRule>
  </conditionalFormatting>
  <conditionalFormatting sqref="N144:N145">
    <cfRule type="expression" dxfId="80" priority="21" stopIfTrue="1">
      <formula>M144="■"</formula>
    </cfRule>
  </conditionalFormatting>
  <conditionalFormatting sqref="F148:F149">
    <cfRule type="expression" dxfId="79" priority="20" stopIfTrue="1">
      <formula>E148="■"</formula>
    </cfRule>
  </conditionalFormatting>
  <conditionalFormatting sqref="J148">
    <cfRule type="expression" dxfId="78" priority="19" stopIfTrue="1">
      <formula>I148="■"</formula>
    </cfRule>
  </conditionalFormatting>
  <conditionalFormatting sqref="N148">
    <cfRule type="expression" dxfId="77" priority="18" stopIfTrue="1">
      <formula>M148="■"</formula>
    </cfRule>
  </conditionalFormatting>
  <conditionalFormatting sqref="F151">
    <cfRule type="expression" dxfId="76" priority="17" stopIfTrue="1">
      <formula>E151="■"</formula>
    </cfRule>
  </conditionalFormatting>
  <conditionalFormatting sqref="F152:F153">
    <cfRule type="expression" dxfId="75" priority="16" stopIfTrue="1">
      <formula>E152="■"</formula>
    </cfRule>
  </conditionalFormatting>
  <conditionalFormatting sqref="J152:J153">
    <cfRule type="expression" dxfId="74" priority="15" stopIfTrue="1">
      <formula>I152="■"</formula>
    </cfRule>
  </conditionalFormatting>
  <conditionalFormatting sqref="N152:N153">
    <cfRule type="expression" dxfId="73" priority="14" stopIfTrue="1">
      <formula>M152="■"</formula>
    </cfRule>
  </conditionalFormatting>
  <conditionalFormatting sqref="F155">
    <cfRule type="expression" dxfId="72" priority="13" stopIfTrue="1">
      <formula>E155="■"</formula>
    </cfRule>
  </conditionalFormatting>
  <conditionalFormatting sqref="F172:F173">
    <cfRule type="expression" dxfId="71" priority="12" stopIfTrue="1">
      <formula>E172="■"</formula>
    </cfRule>
  </conditionalFormatting>
  <conditionalFormatting sqref="J172:J173">
    <cfRule type="expression" dxfId="70" priority="11" stopIfTrue="1">
      <formula>I172="■"</formula>
    </cfRule>
  </conditionalFormatting>
  <conditionalFormatting sqref="N172">
    <cfRule type="expression" dxfId="69" priority="10" stopIfTrue="1">
      <formula>M172="■"</formula>
    </cfRule>
  </conditionalFormatting>
  <conditionalFormatting sqref="F175">
    <cfRule type="expression" dxfId="68" priority="9" stopIfTrue="1">
      <formula>E175="■"</formula>
    </cfRule>
  </conditionalFormatting>
  <conditionalFormatting sqref="F179">
    <cfRule type="expression" dxfId="67" priority="8" stopIfTrue="1">
      <formula>E179="■"</formula>
    </cfRule>
  </conditionalFormatting>
  <conditionalFormatting sqref="F176">
    <cfRule type="expression" dxfId="66" priority="7" stopIfTrue="1">
      <formula>E176="■"</formula>
    </cfRule>
  </conditionalFormatting>
  <conditionalFormatting sqref="F180">
    <cfRule type="expression" dxfId="65" priority="6" stopIfTrue="1">
      <formula>E180="■"</formula>
    </cfRule>
  </conditionalFormatting>
  <conditionalFormatting sqref="J176">
    <cfRule type="expression" dxfId="64" priority="5" stopIfTrue="1">
      <formula>I176="■"</formula>
    </cfRule>
  </conditionalFormatting>
  <conditionalFormatting sqref="J180">
    <cfRule type="expression" dxfId="63" priority="4" stopIfTrue="1">
      <formula>I180="■"</formula>
    </cfRule>
  </conditionalFormatting>
  <conditionalFormatting sqref="N176">
    <cfRule type="expression" dxfId="62" priority="3" stopIfTrue="1">
      <formula>M176="■"</formula>
    </cfRule>
  </conditionalFormatting>
  <conditionalFormatting sqref="F183">
    <cfRule type="expression" dxfId="61" priority="2" stopIfTrue="1">
      <formula>E183="■"</formula>
    </cfRule>
  </conditionalFormatting>
  <conditionalFormatting sqref="J6:P6">
    <cfRule type="cellIs" dxfId="60" priority="1" stopIfTrue="1" operator="notEqual">
      <formula>""</formula>
    </cfRule>
  </conditionalFormatting>
  <dataValidations count="2">
    <dataValidation type="list" allowBlank="1" showInputMessage="1" showErrorMessage="1" sqref="E3:E4 I168:I170 M100:M101 I140 I176 M72:M73 E179:E180 I180 M152:M153 M172 I152:I153 M168:M170 M160:M162 E155:E173 M104:M106 E143:E149 E135:E137 I144:I145 E175:E176 I148 M136 M132:M133 E119:E125 M124 M112:M113 I136:I137 I124:I125 I128 M148 M120:M122 E127:E128 M96:M97 I116:I117 E87:E89 I100:I102 I112:I114 M108:M109 I96:I97 E91:E117 I108:I109 M88:M89 M92:M94 I84:I85 I76:I78 E183 M80:M82 M36:M38 I88:I89 E59:E73 E131:E133 I160:I162 I72:I73 E75:E85 E35:E53 M64:M65 M60:M62 I60:I62 I40:I42 E31:E32 E55:E57 M48:M50 M40:M41 I56:I57 I28 M156:M158 I156:I158 I120:I122 I104:I106 M116 E151:E153 I92:I94 M76:M78 I80:I82 M68:M70 M144:M145 I48:I50 M44:M46 I44:I46 I36:I38 I68:I70 I132:I133 E139:E140 M84:M85 I164:I166 I64:I66 I32 M56:M57 I24:I25 I20:I22 E27:E28 I52:I53 M24 M16 E19:E25 I16:I17 M20:M22 I12:I14 E6:E17 M3 M7:M9 M176 I7:I9 M12:M14 I3:I4 M164:M166 M52 I172:I173" xr:uid="{00000000-0002-0000-0400-000000000000}">
      <formula1>$W$1:$W$2</formula1>
    </dataValidation>
    <dataValidation imeMode="on" allowBlank="1" showInputMessage="1" showErrorMessage="1" sqref="J79:P79 J179:P179 J67:P67 J11:P11 J19:P19 J15:P15 J23:P23 J27:P27 J39:P39 J31:P31 J35:P35 J43:P43 J47:P47 J51:P51 J55:P55 J59:P59 J183:P183 J63:P63 J71:P71 J75:P75 J87:P87 J83:P83 J91:P91 J95:P95 J99:P99 J103:P103 J107:P107 J111:P111 J115:P115 J119:P119 J123:P123 J127:P127 J131:P131 J135:P135 J139:P139 J143:P143 J147:P147 J151:P151 J155:P155 J159:P159 J163:P163 J167:P167 J171:P171 J175:P175 J6:P6" xr:uid="{00000000-0002-0000-0400-000001000000}"/>
  </dataValidations>
  <pageMargins left="0.51181102362204722" right="0.31496062992125984" top="0.70866141732283472" bottom="0.39370078740157483" header="0.31496062992125984" footer="0.51181102362204722"/>
  <pageSetup paperSize="9" scale="86" fitToWidth="0" fitToHeight="3" orientation="portrait" useFirstPageNumber="1" r:id="rId1"/>
  <headerFooter alignWithMargins="0">
    <oddHeader>&amp;L&amp;12第１号様式　別紙４&amp;C&amp;12営　業　種　目　表&amp;R&amp;P/3</oddHeader>
  </headerFooter>
  <rowBreaks count="2" manualBreakCount="2">
    <brk id="67" max="16" man="1"/>
    <brk id="127"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49F7-E9A5-4F95-B274-F125999BD44E}">
  <dimension ref="A1:W38"/>
  <sheetViews>
    <sheetView showGridLines="0" view="pageBreakPreview" zoomScaleNormal="100" zoomScaleSheetLayoutView="100" workbookViewId="0">
      <selection activeCell="A10" sqref="A10:AC13"/>
    </sheetView>
  </sheetViews>
  <sheetFormatPr defaultColWidth="9" defaultRowHeight="13.5"/>
  <cols>
    <col min="1" max="1" width="2.75" style="414" customWidth="1"/>
    <col min="2" max="2" width="13.875" style="429" customWidth="1"/>
    <col min="3" max="3" width="2.875" style="355" customWidth="1"/>
    <col min="4" max="4" width="16.875" style="429" customWidth="1"/>
    <col min="5" max="5" width="2.75" style="355" customWidth="1"/>
    <col min="6" max="6" width="2.875" style="414" customWidth="1"/>
    <col min="7" max="7" width="16.125" style="429" customWidth="1"/>
    <col min="8" max="8" width="1.375" style="355" customWidth="1"/>
    <col min="9" max="9" width="2.875" style="355" customWidth="1"/>
    <col min="10" max="10" width="3" style="391" customWidth="1"/>
    <col min="11" max="11" width="16.125" style="430" customWidth="1"/>
    <col min="12" max="12" width="1.375" style="431" customWidth="1"/>
    <col min="13" max="13" width="2.875" style="431" customWidth="1"/>
    <col min="14" max="14" width="3" style="391" customWidth="1"/>
    <col min="15" max="15" width="16.125" style="430" customWidth="1"/>
    <col min="16" max="16" width="1.25" style="431" customWidth="1"/>
    <col min="17" max="17" width="1.25" style="429" customWidth="1"/>
    <col min="18" max="19" width="6.625" style="414" customWidth="1"/>
    <col min="20" max="20" width="7.25" style="440" customWidth="1"/>
    <col min="21" max="22" width="7.25" style="433" customWidth="1"/>
    <col min="23" max="23" width="0" style="386" hidden="1" customWidth="1"/>
    <col min="24" max="16384" width="9" style="355"/>
  </cols>
  <sheetData>
    <row r="1" spans="1:23">
      <c r="A1" s="344" t="s">
        <v>248</v>
      </c>
      <c r="B1" s="345"/>
      <c r="C1" s="346" t="s">
        <v>255</v>
      </c>
      <c r="D1" s="345"/>
      <c r="E1" s="347"/>
      <c r="F1" s="348"/>
      <c r="G1" s="349"/>
      <c r="H1" s="347"/>
      <c r="I1" s="347"/>
      <c r="J1" s="350"/>
      <c r="K1" s="351"/>
      <c r="L1" s="352"/>
      <c r="M1" s="352"/>
      <c r="N1" s="350"/>
      <c r="O1" s="351"/>
      <c r="P1" s="352"/>
      <c r="Q1" s="353"/>
      <c r="R1" s="354"/>
      <c r="S1" s="355"/>
      <c r="T1" s="433"/>
      <c r="W1" s="356" t="s">
        <v>766</v>
      </c>
    </row>
    <row r="2" spans="1:23" ht="24.75" customHeight="1" thickBot="1">
      <c r="A2" s="357" t="s">
        <v>604</v>
      </c>
      <c r="B2" s="358" t="s">
        <v>49</v>
      </c>
      <c r="C2" s="359" t="s">
        <v>604</v>
      </c>
      <c r="D2" s="360" t="s">
        <v>49</v>
      </c>
      <c r="E2" s="328" t="s">
        <v>852</v>
      </c>
      <c r="F2" s="361"/>
      <c r="G2" s="362"/>
      <c r="H2" s="363"/>
      <c r="I2" s="363"/>
      <c r="J2" s="364"/>
      <c r="K2" s="365"/>
      <c r="L2" s="366"/>
      <c r="M2" s="366"/>
      <c r="N2" s="364"/>
      <c r="O2" s="365"/>
      <c r="P2" s="366"/>
      <c r="Q2" s="367"/>
      <c r="R2" s="368"/>
      <c r="S2" s="369"/>
      <c r="T2" s="432" t="s">
        <v>737</v>
      </c>
      <c r="W2" s="356" t="s">
        <v>767</v>
      </c>
    </row>
    <row r="3" spans="1:23" ht="13.5" customHeight="1">
      <c r="A3" s="370">
        <v>10</v>
      </c>
      <c r="B3" s="775" t="s">
        <v>843</v>
      </c>
      <c r="C3" s="371">
        <v>1</v>
      </c>
      <c r="D3" s="372" t="s">
        <v>844</v>
      </c>
      <c r="E3" s="336" t="s">
        <v>768</v>
      </c>
      <c r="F3" s="374">
        <v>1</v>
      </c>
      <c r="G3" s="411" t="s">
        <v>845</v>
      </c>
      <c r="H3" s="369"/>
      <c r="I3" s="340" t="s">
        <v>768</v>
      </c>
      <c r="J3" s="376">
        <v>2</v>
      </c>
      <c r="K3" s="415" t="s">
        <v>286</v>
      </c>
      <c r="L3" s="378"/>
      <c r="M3" s="340" t="s">
        <v>768</v>
      </c>
      <c r="N3" s="376">
        <v>3</v>
      </c>
      <c r="O3" s="415" t="s">
        <v>846</v>
      </c>
      <c r="P3" s="378"/>
      <c r="Q3" s="379"/>
      <c r="R3" s="774"/>
      <c r="S3" s="380"/>
      <c r="T3" s="434" t="str">
        <f>IF(E3="■","010101","")</f>
        <v/>
      </c>
      <c r="U3" s="435" t="str">
        <f>IF(I3="■","010102","")</f>
        <v/>
      </c>
      <c r="V3" s="441" t="str">
        <f>IF(M3="■","010103","")</f>
        <v/>
      </c>
      <c r="W3" s="381"/>
    </row>
    <row r="4" spans="1:23">
      <c r="A4" s="382"/>
      <c r="B4" s="775"/>
      <c r="C4" s="383"/>
      <c r="D4" s="372"/>
      <c r="E4" s="336" t="s">
        <v>768</v>
      </c>
      <c r="F4" s="384">
        <v>4</v>
      </c>
      <c r="G4" s="411" t="s">
        <v>847</v>
      </c>
      <c r="H4" s="369"/>
      <c r="I4" s="337" t="s">
        <v>768</v>
      </c>
      <c r="J4" s="376">
        <v>5</v>
      </c>
      <c r="K4" s="415" t="s">
        <v>848</v>
      </c>
      <c r="L4" s="378"/>
      <c r="M4" s="337"/>
      <c r="N4" s="376"/>
      <c r="O4" s="377"/>
      <c r="P4" s="378"/>
      <c r="Q4" s="379"/>
      <c r="R4" s="774"/>
      <c r="S4" s="384"/>
      <c r="T4" s="436" t="str">
        <f>IF(E4="■","010104","")</f>
        <v/>
      </c>
      <c r="U4" s="437" t="str">
        <f>IF(I4="■","010105","")</f>
        <v/>
      </c>
      <c r="V4" s="442"/>
    </row>
    <row r="5" spans="1:23">
      <c r="A5" s="387"/>
      <c r="B5" s="388"/>
      <c r="C5" s="383"/>
      <c r="D5" s="389"/>
      <c r="E5" s="338"/>
      <c r="F5" s="384"/>
      <c r="G5" s="375"/>
      <c r="H5" s="369"/>
      <c r="I5" s="390"/>
      <c r="K5" s="377"/>
      <c r="L5" s="378"/>
      <c r="M5" s="392"/>
      <c r="N5" s="376"/>
      <c r="O5" s="377"/>
      <c r="P5" s="378"/>
      <c r="Q5" s="379"/>
      <c r="R5" s="774"/>
      <c r="S5" s="384"/>
      <c r="T5" s="436"/>
      <c r="U5" s="437"/>
      <c r="V5" s="442"/>
    </row>
    <row r="6" spans="1:23">
      <c r="A6" s="387"/>
      <c r="B6" s="388"/>
      <c r="C6" s="393"/>
      <c r="D6" s="394"/>
      <c r="E6" s="341" t="s">
        <v>768</v>
      </c>
      <c r="F6" s="395">
        <v>99</v>
      </c>
      <c r="G6" s="417" t="s">
        <v>849</v>
      </c>
      <c r="H6" s="396"/>
      <c r="I6" s="397" t="s">
        <v>50</v>
      </c>
      <c r="J6" s="778"/>
      <c r="K6" s="778"/>
      <c r="L6" s="778"/>
      <c r="M6" s="778"/>
      <c r="N6" s="778"/>
      <c r="O6" s="778"/>
      <c r="P6" s="778"/>
      <c r="Q6" s="398" t="s">
        <v>51</v>
      </c>
      <c r="R6" s="399" t="str">
        <f>IF(E6="■","←必須","")</f>
        <v/>
      </c>
      <c r="S6" s="776"/>
      <c r="T6" s="438" t="str">
        <f>IF(E6="■","010199","")</f>
        <v/>
      </c>
      <c r="U6" s="439"/>
      <c r="V6" s="443"/>
    </row>
    <row r="7" spans="1:23">
      <c r="A7" s="387"/>
      <c r="B7" s="400"/>
      <c r="C7" s="401">
        <v>2</v>
      </c>
      <c r="D7" s="402" t="s">
        <v>850</v>
      </c>
      <c r="E7" s="336" t="s">
        <v>768</v>
      </c>
      <c r="F7" s="403">
        <v>1</v>
      </c>
      <c r="G7" s="404" t="s">
        <v>853</v>
      </c>
      <c r="H7" s="405"/>
      <c r="I7" s="342" t="s">
        <v>768</v>
      </c>
      <c r="J7" s="406">
        <v>2</v>
      </c>
      <c r="K7" s="427" t="s">
        <v>854</v>
      </c>
      <c r="L7" s="408"/>
      <c r="M7" s="342" t="s">
        <v>768</v>
      </c>
      <c r="N7" s="406">
        <v>3</v>
      </c>
      <c r="O7" s="427" t="s">
        <v>855</v>
      </c>
      <c r="P7" s="408"/>
      <c r="Q7" s="410"/>
      <c r="R7" s="777"/>
      <c r="S7" s="776"/>
      <c r="T7" s="434" t="str">
        <f>IF(E7="■","010201","")</f>
        <v/>
      </c>
      <c r="U7" s="435" t="str">
        <f>IF(I7="■","010202","")</f>
        <v/>
      </c>
      <c r="V7" s="441" t="str">
        <f>IF(M7="■","010203","")</f>
        <v/>
      </c>
      <c r="W7" s="356"/>
    </row>
    <row r="8" spans="1:23">
      <c r="A8" s="387"/>
      <c r="B8" s="400"/>
      <c r="C8" s="383"/>
      <c r="D8" s="372" t="s">
        <v>851</v>
      </c>
      <c r="E8" s="336" t="s">
        <v>768</v>
      </c>
      <c r="F8" s="384">
        <v>4</v>
      </c>
      <c r="G8" s="411" t="s">
        <v>856</v>
      </c>
      <c r="H8" s="369"/>
      <c r="I8" s="337"/>
      <c r="J8" s="376"/>
      <c r="K8" s="377"/>
      <c r="L8" s="378"/>
      <c r="M8" s="337"/>
      <c r="N8" s="376"/>
      <c r="O8" s="377"/>
      <c r="P8" s="378"/>
      <c r="Q8" s="379"/>
      <c r="R8" s="777"/>
      <c r="S8" s="384"/>
      <c r="T8" s="436" t="str">
        <f>IF(E8="■","010204","")</f>
        <v/>
      </c>
      <c r="U8" s="437" t="str">
        <f>IF(I8="■","010205","")</f>
        <v/>
      </c>
      <c r="V8" s="442" t="str">
        <f>IF(M8="■","010206","")</f>
        <v/>
      </c>
    </row>
    <row r="9" spans="1:23">
      <c r="A9" s="387"/>
      <c r="B9" s="388"/>
      <c r="C9" s="383"/>
      <c r="D9" s="389"/>
      <c r="E9" s="336"/>
      <c r="F9" s="384"/>
      <c r="G9" s="411"/>
      <c r="H9" s="369"/>
      <c r="I9" s="412"/>
      <c r="J9" s="376"/>
      <c r="K9" s="377"/>
      <c r="L9" s="378"/>
      <c r="M9" s="392"/>
      <c r="N9" s="376"/>
      <c r="O9" s="377"/>
      <c r="P9" s="378"/>
      <c r="Q9" s="379"/>
      <c r="R9" s="777"/>
      <c r="S9" s="384"/>
      <c r="T9" s="436" t="str">
        <f>IF(E9="■","010210","")</f>
        <v/>
      </c>
      <c r="U9" s="437"/>
      <c r="V9" s="442"/>
    </row>
    <row r="10" spans="1:23">
      <c r="A10" s="387"/>
      <c r="B10" s="388"/>
      <c r="C10" s="393"/>
      <c r="D10" s="394"/>
      <c r="E10" s="341" t="s">
        <v>768</v>
      </c>
      <c r="F10" s="395">
        <v>99</v>
      </c>
      <c r="G10" s="417" t="s">
        <v>857</v>
      </c>
      <c r="H10" s="396"/>
      <c r="I10" s="397" t="s">
        <v>50</v>
      </c>
      <c r="J10" s="778"/>
      <c r="K10" s="778"/>
      <c r="L10" s="778"/>
      <c r="M10" s="778"/>
      <c r="N10" s="778"/>
      <c r="O10" s="778"/>
      <c r="P10" s="778"/>
      <c r="Q10" s="398" t="s">
        <v>51</v>
      </c>
      <c r="R10" s="399" t="str">
        <f>IF(E10="■","←必須","")</f>
        <v/>
      </c>
      <c r="S10" s="413"/>
      <c r="T10" s="438" t="str">
        <f>IF(E10="■","010299","")</f>
        <v/>
      </c>
      <c r="U10" s="439"/>
      <c r="V10" s="443"/>
    </row>
    <row r="11" spans="1:23">
      <c r="A11" s="382"/>
      <c r="B11" s="329"/>
      <c r="C11" s="401">
        <v>3</v>
      </c>
      <c r="D11" s="402" t="s">
        <v>858</v>
      </c>
      <c r="E11" s="336" t="s">
        <v>768</v>
      </c>
      <c r="F11" s="403">
        <v>1</v>
      </c>
      <c r="G11" s="404" t="s">
        <v>859</v>
      </c>
      <c r="H11" s="405"/>
      <c r="I11" s="342" t="s">
        <v>768</v>
      </c>
      <c r="J11" s="406">
        <v>2</v>
      </c>
      <c r="K11" s="427" t="s">
        <v>860</v>
      </c>
      <c r="L11" s="408"/>
      <c r="M11" s="342" t="s">
        <v>768</v>
      </c>
      <c r="N11" s="406">
        <v>3</v>
      </c>
      <c r="O11" s="427" t="s">
        <v>861</v>
      </c>
      <c r="P11" s="408"/>
      <c r="Q11" s="410"/>
      <c r="R11" s="774"/>
      <c r="S11" s="413"/>
      <c r="T11" s="436" t="str">
        <f>IF(E11="■","020101","")</f>
        <v/>
      </c>
      <c r="U11" s="437" t="str">
        <f>IF(I11="■","020102","")</f>
        <v/>
      </c>
      <c r="V11" s="442" t="str">
        <f>IF(M11="■","020103","")</f>
        <v/>
      </c>
    </row>
    <row r="12" spans="1:23">
      <c r="A12" s="387"/>
      <c r="B12" s="400"/>
      <c r="C12" s="383"/>
      <c r="D12" s="372"/>
      <c r="E12" s="336" t="s">
        <v>768</v>
      </c>
      <c r="F12" s="384">
        <v>4</v>
      </c>
      <c r="G12" s="411" t="s">
        <v>862</v>
      </c>
      <c r="H12" s="369"/>
      <c r="I12" s="337" t="s">
        <v>768</v>
      </c>
      <c r="J12" s="376">
        <v>5</v>
      </c>
      <c r="K12" s="415" t="s">
        <v>863</v>
      </c>
      <c r="L12" s="378"/>
      <c r="M12" s="337"/>
      <c r="N12" s="376"/>
      <c r="O12" s="415"/>
      <c r="P12" s="378"/>
      <c r="Q12" s="379"/>
      <c r="R12" s="774"/>
      <c r="T12" s="436" t="str">
        <f>IF(E12="■","020104","")</f>
        <v/>
      </c>
      <c r="U12" s="437" t="str">
        <f>IF(I12="■","020105","")</f>
        <v/>
      </c>
      <c r="V12" s="442" t="str">
        <f>IF(M12="■","020106","")</f>
        <v/>
      </c>
    </row>
    <row r="13" spans="1:23">
      <c r="A13" s="387"/>
      <c r="B13" s="388"/>
      <c r="C13" s="383"/>
      <c r="D13" s="389"/>
      <c r="E13" s="336"/>
      <c r="F13" s="384"/>
      <c r="G13" s="375"/>
      <c r="H13" s="369"/>
      <c r="I13" s="337"/>
      <c r="J13" s="376"/>
      <c r="K13" s="377"/>
      <c r="L13" s="378"/>
      <c r="M13" s="337"/>
      <c r="N13" s="376"/>
      <c r="O13" s="415"/>
      <c r="P13" s="378"/>
      <c r="Q13" s="379"/>
      <c r="R13" s="444"/>
      <c r="T13" s="436"/>
      <c r="U13" s="437"/>
      <c r="V13" s="442"/>
    </row>
    <row r="14" spans="1:23" ht="14.25" customHeight="1">
      <c r="A14" s="387"/>
      <c r="B14" s="389"/>
      <c r="C14" s="393"/>
      <c r="D14" s="394"/>
      <c r="E14" s="341" t="s">
        <v>768</v>
      </c>
      <c r="F14" s="395">
        <v>99</v>
      </c>
      <c r="G14" s="417" t="s">
        <v>864</v>
      </c>
      <c r="H14" s="396"/>
      <c r="I14" s="397" t="s">
        <v>50</v>
      </c>
      <c r="J14" s="778"/>
      <c r="K14" s="778"/>
      <c r="L14" s="778"/>
      <c r="M14" s="778"/>
      <c r="N14" s="778"/>
      <c r="O14" s="778"/>
      <c r="P14" s="778"/>
      <c r="Q14" s="398" t="s">
        <v>51</v>
      </c>
      <c r="R14" s="399" t="str">
        <f>IF(E14="■","←必須","")</f>
        <v/>
      </c>
      <c r="S14" s="413"/>
      <c r="T14" s="438" t="str">
        <f>IF(E14="■","020199","")</f>
        <v/>
      </c>
      <c r="U14" s="439"/>
      <c r="V14" s="443"/>
    </row>
    <row r="15" spans="1:23">
      <c r="A15" s="382"/>
      <c r="B15" s="445"/>
      <c r="C15" s="401">
        <v>4</v>
      </c>
      <c r="D15" s="402" t="s">
        <v>865</v>
      </c>
      <c r="E15" s="336" t="s">
        <v>768</v>
      </c>
      <c r="F15" s="403">
        <v>1</v>
      </c>
      <c r="G15" s="404" t="s">
        <v>866</v>
      </c>
      <c r="H15" s="405"/>
      <c r="I15" s="342" t="s">
        <v>768</v>
      </c>
      <c r="J15" s="406">
        <v>2</v>
      </c>
      <c r="K15" s="427" t="s">
        <v>867</v>
      </c>
      <c r="L15" s="408"/>
      <c r="M15" s="342" t="s">
        <v>768</v>
      </c>
      <c r="N15" s="406">
        <v>3</v>
      </c>
      <c r="O15" s="427" t="s">
        <v>868</v>
      </c>
      <c r="P15" s="408"/>
      <c r="Q15" s="410"/>
      <c r="R15" s="774"/>
      <c r="S15" s="413"/>
      <c r="T15" s="434" t="str">
        <f>IF(E15="■","030101","")</f>
        <v/>
      </c>
      <c r="U15" s="435" t="str">
        <f>IF(I15="■","030102","")</f>
        <v/>
      </c>
      <c r="V15" s="441" t="str">
        <f>IF(M15="■","030103","")</f>
        <v/>
      </c>
    </row>
    <row r="16" spans="1:23" s="386" customFormat="1">
      <c r="A16" s="387"/>
      <c r="B16" s="388"/>
      <c r="C16" s="383"/>
      <c r="D16" s="389"/>
      <c r="E16" s="373"/>
      <c r="F16" s="384"/>
      <c r="G16" s="375"/>
      <c r="H16" s="369"/>
      <c r="I16" s="412" t="b">
        <v>0</v>
      </c>
      <c r="J16" s="376"/>
      <c r="K16" s="377"/>
      <c r="L16" s="378"/>
      <c r="M16" s="392" t="b">
        <v>0</v>
      </c>
      <c r="N16" s="376"/>
      <c r="O16" s="377"/>
      <c r="P16" s="378"/>
      <c r="Q16" s="379"/>
      <c r="R16" s="774"/>
      <c r="S16" s="355"/>
      <c r="T16" s="436"/>
      <c r="U16" s="437" t="str">
        <f>IF(I16="■","030105","")</f>
        <v/>
      </c>
      <c r="V16" s="442"/>
    </row>
    <row r="17" spans="1:22" s="386" customFormat="1" ht="15.75" customHeight="1">
      <c r="A17" s="387"/>
      <c r="B17" s="388"/>
      <c r="C17" s="393"/>
      <c r="D17" s="394"/>
      <c r="E17" s="341" t="s">
        <v>768</v>
      </c>
      <c r="F17" s="395">
        <v>99</v>
      </c>
      <c r="G17" s="417" t="s">
        <v>869</v>
      </c>
      <c r="H17" s="396"/>
      <c r="I17" s="397" t="s">
        <v>50</v>
      </c>
      <c r="J17" s="778"/>
      <c r="K17" s="778"/>
      <c r="L17" s="778"/>
      <c r="M17" s="778"/>
      <c r="N17" s="778"/>
      <c r="O17" s="778"/>
      <c r="P17" s="778"/>
      <c r="Q17" s="398" t="s">
        <v>51</v>
      </c>
      <c r="R17" s="399" t="str">
        <f>IF(E17="■","←必須","")</f>
        <v/>
      </c>
      <c r="S17" s="413"/>
      <c r="T17" s="438" t="str">
        <f>IF(E17="■","030199","")</f>
        <v/>
      </c>
      <c r="U17" s="439"/>
      <c r="V17" s="443"/>
    </row>
    <row r="18" spans="1:22" s="386" customFormat="1" ht="14.25" customHeight="1">
      <c r="A18" s="387"/>
      <c r="B18" s="400"/>
      <c r="C18" s="401">
        <v>5</v>
      </c>
      <c r="D18" s="402" t="s">
        <v>870</v>
      </c>
      <c r="E18" s="336" t="s">
        <v>768</v>
      </c>
      <c r="F18" s="403">
        <v>1</v>
      </c>
      <c r="G18" s="404" t="s">
        <v>871</v>
      </c>
      <c r="H18" s="405"/>
      <c r="I18" s="342" t="s">
        <v>768</v>
      </c>
      <c r="J18" s="406">
        <v>2</v>
      </c>
      <c r="K18" s="427" t="s">
        <v>872</v>
      </c>
      <c r="L18" s="408"/>
      <c r="M18" s="342"/>
      <c r="N18" s="406"/>
      <c r="O18" s="409"/>
      <c r="P18" s="408"/>
      <c r="Q18" s="410"/>
      <c r="R18" s="774"/>
      <c r="S18" s="413"/>
      <c r="T18" s="434" t="str">
        <f>IF(E18="■","030201","")</f>
        <v/>
      </c>
      <c r="U18" s="435" t="str">
        <f>IF(I18="■","030202","")</f>
        <v/>
      </c>
      <c r="V18" s="441" t="str">
        <f>IF(M18="■","030203","")</f>
        <v/>
      </c>
    </row>
    <row r="19" spans="1:22" s="386" customFormat="1">
      <c r="A19" s="387"/>
      <c r="B19" s="388"/>
      <c r="C19" s="383"/>
      <c r="D19" s="389"/>
      <c r="E19" s="336"/>
      <c r="F19" s="384"/>
      <c r="G19" s="375"/>
      <c r="H19" s="369"/>
      <c r="I19" s="337"/>
      <c r="J19" s="376"/>
      <c r="K19" s="416"/>
      <c r="L19" s="378"/>
      <c r="M19" s="337"/>
      <c r="N19" s="376"/>
      <c r="O19" s="416"/>
      <c r="P19" s="378"/>
      <c r="Q19" s="379"/>
      <c r="R19" s="774"/>
      <c r="S19" s="355"/>
      <c r="T19" s="436" t="str">
        <f>IF(E19="■","030207","")</f>
        <v/>
      </c>
      <c r="U19" s="437" t="str">
        <f>IF(I19="■","030208","")</f>
        <v/>
      </c>
      <c r="V19" s="442" t="str">
        <f>IF(M19="■","030209","")</f>
        <v/>
      </c>
    </row>
    <row r="20" spans="1:22" s="386" customFormat="1" ht="17.25" customHeight="1">
      <c r="A20" s="387"/>
      <c r="B20" s="388"/>
      <c r="C20" s="393"/>
      <c r="D20" s="394"/>
      <c r="E20" s="341" t="s">
        <v>768</v>
      </c>
      <c r="F20" s="395">
        <v>99</v>
      </c>
      <c r="G20" s="417" t="s">
        <v>873</v>
      </c>
      <c r="H20" s="396"/>
      <c r="I20" s="397" t="s">
        <v>50</v>
      </c>
      <c r="J20" s="778"/>
      <c r="K20" s="778"/>
      <c r="L20" s="778"/>
      <c r="M20" s="778"/>
      <c r="N20" s="778"/>
      <c r="O20" s="778"/>
      <c r="P20" s="778"/>
      <c r="Q20" s="398" t="s">
        <v>51</v>
      </c>
      <c r="R20" s="399" t="str">
        <f>IF(E20="■","←必須","")</f>
        <v/>
      </c>
      <c r="S20" s="413"/>
      <c r="T20" s="438" t="str">
        <f>IF(E20="■","030299","")</f>
        <v/>
      </c>
      <c r="U20" s="439"/>
      <c r="V20" s="443"/>
    </row>
    <row r="21" spans="1:22" s="386" customFormat="1" ht="13.5" customHeight="1">
      <c r="A21" s="387"/>
      <c r="B21" s="400"/>
      <c r="C21" s="401">
        <v>6</v>
      </c>
      <c r="D21" s="402" t="s">
        <v>874</v>
      </c>
      <c r="E21" s="336" t="s">
        <v>768</v>
      </c>
      <c r="F21" s="403">
        <v>1</v>
      </c>
      <c r="G21" s="404" t="s">
        <v>875</v>
      </c>
      <c r="H21" s="405"/>
      <c r="I21" s="342" t="s">
        <v>768</v>
      </c>
      <c r="J21" s="406">
        <v>2</v>
      </c>
      <c r="K21" s="427" t="s">
        <v>876</v>
      </c>
      <c r="L21" s="408"/>
      <c r="M21" s="342"/>
      <c r="N21" s="406"/>
      <c r="O21" s="407"/>
      <c r="P21" s="408"/>
      <c r="Q21" s="410"/>
      <c r="R21" s="774"/>
      <c r="S21" s="413"/>
      <c r="T21" s="434" t="str">
        <f>IF(E21="■","030301","")</f>
        <v/>
      </c>
      <c r="U21" s="435" t="str">
        <f>IF(I21="■","030302","")</f>
        <v/>
      </c>
      <c r="V21" s="441" t="str">
        <f>IF(M21="■","030303","")</f>
        <v/>
      </c>
    </row>
    <row r="22" spans="1:22" s="386" customFormat="1">
      <c r="A22" s="387"/>
      <c r="B22" s="388"/>
      <c r="C22" s="383"/>
      <c r="D22" s="389"/>
      <c r="E22" s="418" t="b">
        <v>0</v>
      </c>
      <c r="F22" s="384"/>
      <c r="G22" s="375"/>
      <c r="H22" s="369"/>
      <c r="I22" s="412" t="b">
        <v>0</v>
      </c>
      <c r="J22" s="376"/>
      <c r="K22" s="377"/>
      <c r="L22" s="378"/>
      <c r="M22" s="392" t="b">
        <v>0</v>
      </c>
      <c r="N22" s="376"/>
      <c r="O22" s="377"/>
      <c r="P22" s="378"/>
      <c r="Q22" s="379"/>
      <c r="R22" s="774"/>
      <c r="S22" s="355"/>
      <c r="T22" s="436"/>
      <c r="U22" s="437"/>
      <c r="V22" s="442"/>
    </row>
    <row r="23" spans="1:22" s="386" customFormat="1" ht="15.75" customHeight="1">
      <c r="A23" s="387"/>
      <c r="B23" s="388"/>
      <c r="C23" s="393"/>
      <c r="D23" s="394"/>
      <c r="E23" s="341" t="s">
        <v>768</v>
      </c>
      <c r="F23" s="395">
        <v>99</v>
      </c>
      <c r="G23" s="417" t="s">
        <v>877</v>
      </c>
      <c r="H23" s="396"/>
      <c r="I23" s="397" t="s">
        <v>50</v>
      </c>
      <c r="J23" s="778"/>
      <c r="K23" s="778"/>
      <c r="L23" s="778"/>
      <c r="M23" s="778"/>
      <c r="N23" s="778"/>
      <c r="O23" s="778"/>
      <c r="P23" s="778"/>
      <c r="Q23" s="398" t="s">
        <v>51</v>
      </c>
      <c r="R23" s="399" t="str">
        <f>IF(E23="■","←必須","")</f>
        <v/>
      </c>
      <c r="S23" s="413"/>
      <c r="T23" s="438" t="str">
        <f>IF(E23="■","030399","")</f>
        <v/>
      </c>
      <c r="U23" s="439"/>
      <c r="V23" s="443"/>
    </row>
    <row r="24" spans="1:22" s="386" customFormat="1">
      <c r="A24" s="387"/>
      <c r="B24" s="400"/>
      <c r="C24" s="401">
        <v>7</v>
      </c>
      <c r="D24" s="402" t="s">
        <v>878</v>
      </c>
      <c r="E24" s="336" t="s">
        <v>768</v>
      </c>
      <c r="F24" s="403">
        <v>1</v>
      </c>
      <c r="G24" s="404" t="s">
        <v>879</v>
      </c>
      <c r="H24" s="405"/>
      <c r="I24" s="342" t="s">
        <v>768</v>
      </c>
      <c r="J24" s="406">
        <v>2</v>
      </c>
      <c r="K24" s="427" t="s">
        <v>880</v>
      </c>
      <c r="L24" s="408"/>
      <c r="M24" s="342" t="s">
        <v>768</v>
      </c>
      <c r="N24" s="406">
        <v>3</v>
      </c>
      <c r="O24" s="427" t="s">
        <v>881</v>
      </c>
      <c r="P24" s="408"/>
      <c r="Q24" s="410"/>
      <c r="R24" s="774"/>
      <c r="S24" s="413"/>
      <c r="T24" s="434" t="str">
        <f>IF(E24="■","030401","")</f>
        <v/>
      </c>
      <c r="U24" s="435" t="str">
        <f>IF(I24="■","030402","")</f>
        <v/>
      </c>
      <c r="V24" s="441"/>
    </row>
    <row r="25" spans="1:22" s="386" customFormat="1" ht="13.5" customHeight="1">
      <c r="A25" s="387"/>
      <c r="B25" s="400"/>
      <c r="C25" s="383"/>
      <c r="D25" s="372"/>
      <c r="E25" s="418" t="b">
        <v>0</v>
      </c>
      <c r="F25" s="384"/>
      <c r="G25" s="375"/>
      <c r="H25" s="369"/>
      <c r="I25" s="412" t="b">
        <v>0</v>
      </c>
      <c r="J25" s="376"/>
      <c r="K25" s="377"/>
      <c r="L25" s="378"/>
      <c r="M25" s="337"/>
      <c r="N25" s="376"/>
      <c r="O25" s="415"/>
      <c r="P25" s="378"/>
      <c r="Q25" s="379"/>
      <c r="R25" s="774"/>
      <c r="S25" s="355"/>
      <c r="T25" s="436"/>
      <c r="U25" s="437"/>
      <c r="V25" s="442"/>
    </row>
    <row r="26" spans="1:22" s="386" customFormat="1" ht="16.5" customHeight="1">
      <c r="A26" s="387"/>
      <c r="B26" s="388"/>
      <c r="C26" s="393"/>
      <c r="D26" s="394"/>
      <c r="E26" s="341" t="s">
        <v>768</v>
      </c>
      <c r="F26" s="395">
        <v>99</v>
      </c>
      <c r="G26" s="417" t="s">
        <v>882</v>
      </c>
      <c r="H26" s="396"/>
      <c r="I26" s="397" t="s">
        <v>50</v>
      </c>
      <c r="J26" s="778"/>
      <c r="K26" s="778"/>
      <c r="L26" s="778"/>
      <c r="M26" s="778"/>
      <c r="N26" s="778"/>
      <c r="O26" s="778"/>
      <c r="P26" s="778"/>
      <c r="Q26" s="398" t="s">
        <v>51</v>
      </c>
      <c r="R26" s="399" t="str">
        <f>IF(E26="■","←必須","")</f>
        <v/>
      </c>
      <c r="S26" s="413"/>
      <c r="T26" s="438" t="str">
        <f>IF(E26="■","030499","")</f>
        <v/>
      </c>
      <c r="U26" s="439"/>
      <c r="V26" s="443"/>
    </row>
    <row r="27" spans="1:22" s="386" customFormat="1">
      <c r="A27" s="382"/>
      <c r="B27" s="329"/>
      <c r="C27" s="401">
        <v>8</v>
      </c>
      <c r="D27" s="402" t="s">
        <v>883</v>
      </c>
      <c r="E27" s="336" t="s">
        <v>768</v>
      </c>
      <c r="F27" s="403">
        <v>1</v>
      </c>
      <c r="G27" s="404" t="s">
        <v>884</v>
      </c>
      <c r="H27" s="405"/>
      <c r="I27" s="342" t="s">
        <v>768</v>
      </c>
      <c r="J27" s="406">
        <v>2</v>
      </c>
      <c r="K27" s="427" t="s">
        <v>885</v>
      </c>
      <c r="L27" s="408"/>
      <c r="M27" s="342"/>
      <c r="N27" s="406"/>
      <c r="O27" s="407"/>
      <c r="P27" s="408"/>
      <c r="Q27" s="410"/>
      <c r="R27" s="774"/>
      <c r="S27" s="413"/>
      <c r="T27" s="434" t="str">
        <f>IF(E27="■","040101","")</f>
        <v/>
      </c>
      <c r="U27" s="435" t="str">
        <f>IF(I27="■","040102","")</f>
        <v/>
      </c>
      <c r="V27" s="441" t="str">
        <f>IF(M27="■","040103","")</f>
        <v/>
      </c>
    </row>
    <row r="28" spans="1:22" s="386" customFormat="1">
      <c r="A28" s="387"/>
      <c r="B28" s="388"/>
      <c r="C28" s="383"/>
      <c r="D28" s="389"/>
      <c r="E28" s="336"/>
      <c r="F28" s="384"/>
      <c r="G28" s="375"/>
      <c r="H28" s="369"/>
      <c r="I28" s="337"/>
      <c r="J28" s="376"/>
      <c r="K28" s="377"/>
      <c r="L28" s="378"/>
      <c r="M28" s="337"/>
      <c r="N28" s="376"/>
      <c r="O28" s="377"/>
      <c r="P28" s="378"/>
      <c r="Q28" s="379"/>
      <c r="R28" s="774"/>
      <c r="S28" s="355"/>
      <c r="T28" s="436" t="str">
        <f>IF(E28="■","040107","")</f>
        <v/>
      </c>
      <c r="U28" s="437" t="str">
        <f>IF(I28="■","040108","")</f>
        <v/>
      </c>
      <c r="V28" s="442" t="str">
        <f>IF(M28="■","040109","")</f>
        <v/>
      </c>
    </row>
    <row r="29" spans="1:22" s="386" customFormat="1">
      <c r="A29" s="387"/>
      <c r="B29" s="388"/>
      <c r="C29" s="393"/>
      <c r="D29" s="394"/>
      <c r="E29" s="341" t="s">
        <v>768</v>
      </c>
      <c r="F29" s="395">
        <v>99</v>
      </c>
      <c r="G29" s="417" t="s">
        <v>886</v>
      </c>
      <c r="H29" s="396"/>
      <c r="I29" s="397" t="s">
        <v>50</v>
      </c>
      <c r="J29" s="778"/>
      <c r="K29" s="778"/>
      <c r="L29" s="778"/>
      <c r="M29" s="778"/>
      <c r="N29" s="778"/>
      <c r="O29" s="778"/>
      <c r="P29" s="778"/>
      <c r="Q29" s="398" t="s">
        <v>51</v>
      </c>
      <c r="R29" s="399" t="str">
        <f>IF(E29="■","←必須","")</f>
        <v/>
      </c>
      <c r="S29" s="413"/>
      <c r="T29" s="438" t="str">
        <f>IF(E29="■","040199","")</f>
        <v/>
      </c>
      <c r="U29" s="439"/>
      <c r="V29" s="443"/>
    </row>
    <row r="30" spans="1:22" s="386" customFormat="1">
      <c r="A30" s="387"/>
      <c r="B30" s="400"/>
      <c r="C30" s="401">
        <v>9</v>
      </c>
      <c r="D30" s="402" t="s">
        <v>887</v>
      </c>
      <c r="E30" s="336" t="s">
        <v>768</v>
      </c>
      <c r="F30" s="403">
        <v>1</v>
      </c>
      <c r="G30" s="404" t="s">
        <v>888</v>
      </c>
      <c r="H30" s="405"/>
      <c r="I30" s="342" t="s">
        <v>768</v>
      </c>
      <c r="J30" s="406">
        <v>2</v>
      </c>
      <c r="K30" s="427" t="s">
        <v>889</v>
      </c>
      <c r="L30" s="408"/>
      <c r="M30" s="342" t="s">
        <v>768</v>
      </c>
      <c r="N30" s="406">
        <v>3</v>
      </c>
      <c r="O30" s="427" t="s">
        <v>890</v>
      </c>
      <c r="P30" s="408"/>
      <c r="Q30" s="410"/>
      <c r="R30" s="774"/>
      <c r="S30" s="413"/>
      <c r="T30" s="434" t="str">
        <f>IF(E30="■","040201","")</f>
        <v/>
      </c>
      <c r="U30" s="435" t="str">
        <f>IF(I30="■","040202","")</f>
        <v/>
      </c>
      <c r="V30" s="441" t="str">
        <f>IF(M30="■","040203","")</f>
        <v/>
      </c>
    </row>
    <row r="31" spans="1:22" s="386" customFormat="1">
      <c r="A31" s="387"/>
      <c r="B31" s="400"/>
      <c r="C31" s="383"/>
      <c r="D31" s="372"/>
      <c r="E31" s="336" t="s">
        <v>768</v>
      </c>
      <c r="F31" s="384">
        <v>4</v>
      </c>
      <c r="G31" s="411" t="s">
        <v>891</v>
      </c>
      <c r="H31" s="369"/>
      <c r="I31" s="337"/>
      <c r="J31" s="376"/>
      <c r="K31" s="377"/>
      <c r="L31" s="378"/>
      <c r="M31" s="337"/>
      <c r="N31" s="376"/>
      <c r="O31" s="780"/>
      <c r="P31" s="781"/>
      <c r="Q31" s="379"/>
      <c r="R31" s="774"/>
      <c r="S31" s="355"/>
      <c r="T31" s="436" t="str">
        <f>IF(E31="■","040204","")</f>
        <v/>
      </c>
      <c r="U31" s="437" t="str">
        <f>IF(I31="■","040205","")</f>
        <v/>
      </c>
      <c r="V31" s="442" t="str">
        <f>IF(M31="■","040206","")</f>
        <v/>
      </c>
    </row>
    <row r="32" spans="1:22" s="386" customFormat="1">
      <c r="A32" s="387"/>
      <c r="B32" s="388"/>
      <c r="C32" s="383"/>
      <c r="D32" s="389"/>
      <c r="E32" s="336"/>
      <c r="F32" s="384"/>
      <c r="G32" s="375"/>
      <c r="H32" s="369"/>
      <c r="I32" s="337"/>
      <c r="J32" s="376"/>
      <c r="K32" s="377"/>
      <c r="L32" s="378"/>
      <c r="M32" s="385"/>
      <c r="N32" s="376"/>
      <c r="O32" s="377"/>
      <c r="P32" s="378"/>
      <c r="Q32" s="379"/>
      <c r="R32" s="774"/>
      <c r="S32" s="355"/>
      <c r="T32" s="436" t="str">
        <f>IF(E32="■","040207","")</f>
        <v/>
      </c>
      <c r="U32" s="437" t="str">
        <f>IF(I32="■","040208","")</f>
        <v/>
      </c>
      <c r="V32" s="442"/>
    </row>
    <row r="33" spans="1:22" s="386" customFormat="1">
      <c r="A33" s="387"/>
      <c r="B33" s="388"/>
      <c r="C33" s="393"/>
      <c r="D33" s="394"/>
      <c r="E33" s="341" t="s">
        <v>768</v>
      </c>
      <c r="F33" s="395">
        <v>99</v>
      </c>
      <c r="G33" s="417" t="s">
        <v>892</v>
      </c>
      <c r="H33" s="396"/>
      <c r="I33" s="397" t="s">
        <v>50</v>
      </c>
      <c r="J33" s="778"/>
      <c r="K33" s="778"/>
      <c r="L33" s="778"/>
      <c r="M33" s="778"/>
      <c r="N33" s="778"/>
      <c r="O33" s="778"/>
      <c r="P33" s="778"/>
      <c r="Q33" s="398" t="s">
        <v>51</v>
      </c>
      <c r="R33" s="399" t="str">
        <f>IF(E33="■","←必須","")</f>
        <v/>
      </c>
      <c r="S33" s="413"/>
      <c r="T33" s="438" t="str">
        <f>IF(E33="■","040299","")</f>
        <v/>
      </c>
      <c r="U33" s="439"/>
      <c r="V33" s="443"/>
    </row>
    <row r="34" spans="1:22" s="386" customFormat="1">
      <c r="A34" s="387"/>
      <c r="B34" s="400"/>
      <c r="C34" s="401">
        <v>10</v>
      </c>
      <c r="D34" s="402" t="s">
        <v>465</v>
      </c>
      <c r="E34" s="339" t="s">
        <v>768</v>
      </c>
      <c r="F34" s="403">
        <v>1</v>
      </c>
      <c r="G34" s="404" t="s">
        <v>893</v>
      </c>
      <c r="H34" s="405"/>
      <c r="I34" s="342" t="s">
        <v>768</v>
      </c>
      <c r="J34" s="406">
        <v>2</v>
      </c>
      <c r="K34" s="427" t="s">
        <v>894</v>
      </c>
      <c r="L34" s="408"/>
      <c r="M34" s="342" t="s">
        <v>768</v>
      </c>
      <c r="N34" s="406">
        <v>3</v>
      </c>
      <c r="O34" s="427" t="s">
        <v>895</v>
      </c>
      <c r="P34" s="408"/>
      <c r="Q34" s="410"/>
      <c r="R34" s="774"/>
      <c r="S34" s="413"/>
      <c r="T34" s="434" t="str">
        <f>IF(E34="■","091401","")</f>
        <v/>
      </c>
      <c r="U34" s="435" t="str">
        <f>IF(I34="■","091402","")</f>
        <v/>
      </c>
      <c r="V34" s="441"/>
    </row>
    <row r="35" spans="1:22" s="386" customFormat="1">
      <c r="A35" s="387"/>
      <c r="B35" s="400"/>
      <c r="C35" s="383"/>
      <c r="D35" s="372"/>
      <c r="E35" s="336" t="s">
        <v>768</v>
      </c>
      <c r="F35" s="384">
        <v>4</v>
      </c>
      <c r="G35" s="411" t="s">
        <v>896</v>
      </c>
      <c r="H35" s="369"/>
      <c r="I35" s="412" t="b">
        <v>0</v>
      </c>
      <c r="J35" s="376"/>
      <c r="K35" s="377"/>
      <c r="L35" s="378"/>
      <c r="M35" s="392" t="b">
        <v>0</v>
      </c>
      <c r="N35" s="376"/>
      <c r="O35" s="377"/>
      <c r="P35" s="378"/>
      <c r="Q35" s="379"/>
      <c r="R35" s="774"/>
      <c r="S35" s="414"/>
      <c r="T35" s="436"/>
      <c r="U35" s="437"/>
      <c r="V35" s="442"/>
    </row>
    <row r="36" spans="1:22" s="386" customFormat="1">
      <c r="A36" s="387"/>
      <c r="B36" s="388"/>
      <c r="C36" s="383"/>
      <c r="D36" s="389"/>
      <c r="E36" s="418" t="b">
        <v>0</v>
      </c>
      <c r="F36" s="384"/>
      <c r="G36" s="375"/>
      <c r="H36" s="369"/>
      <c r="I36" s="412" t="b">
        <v>0</v>
      </c>
      <c r="J36" s="376"/>
      <c r="K36" s="377"/>
      <c r="L36" s="378"/>
      <c r="M36" s="392" t="b">
        <v>0</v>
      </c>
      <c r="N36" s="376"/>
      <c r="O36" s="377"/>
      <c r="P36" s="378"/>
      <c r="Q36" s="379"/>
      <c r="R36" s="774"/>
      <c r="S36" s="414"/>
      <c r="T36" s="436"/>
      <c r="U36" s="437"/>
      <c r="V36" s="442"/>
    </row>
    <row r="37" spans="1:22" s="386" customFormat="1" ht="14.25" thickBot="1">
      <c r="A37" s="419"/>
      <c r="B37" s="420"/>
      <c r="C37" s="421"/>
      <c r="D37" s="422"/>
      <c r="E37" s="343" t="s">
        <v>768</v>
      </c>
      <c r="F37" s="423">
        <v>99</v>
      </c>
      <c r="G37" s="428" t="s">
        <v>53</v>
      </c>
      <c r="H37" s="424"/>
      <c r="I37" s="425" t="s">
        <v>50</v>
      </c>
      <c r="J37" s="782"/>
      <c r="K37" s="782"/>
      <c r="L37" s="782"/>
      <c r="M37" s="782"/>
      <c r="N37" s="782"/>
      <c r="O37" s="782"/>
      <c r="P37" s="782"/>
      <c r="Q37" s="426" t="s">
        <v>51</v>
      </c>
      <c r="R37" s="399" t="str">
        <f>IF(E37="■","←必須","")</f>
        <v/>
      </c>
      <c r="S37" s="413"/>
      <c r="T37" s="438" t="str">
        <f>IF(E37="■","091499","")</f>
        <v/>
      </c>
      <c r="U37" s="439"/>
      <c r="V37" s="443"/>
    </row>
    <row r="38" spans="1:22" s="386" customFormat="1">
      <c r="A38" s="414"/>
      <c r="B38" s="429"/>
      <c r="C38" s="355"/>
      <c r="D38" s="429"/>
      <c r="E38" s="355"/>
      <c r="F38" s="414"/>
      <c r="G38" s="429"/>
      <c r="H38" s="355"/>
      <c r="I38" s="355"/>
      <c r="J38" s="391"/>
      <c r="K38" s="430"/>
      <c r="L38" s="431"/>
      <c r="M38" s="431"/>
      <c r="N38" s="391"/>
      <c r="O38" s="430"/>
      <c r="P38" s="431"/>
      <c r="Q38" s="375"/>
      <c r="R38" s="413"/>
      <c r="S38" s="413"/>
      <c r="T38" s="440"/>
      <c r="U38" s="433"/>
      <c r="V38" s="433"/>
    </row>
  </sheetData>
  <sheetProtection selectLockedCells="1"/>
  <mergeCells count="23">
    <mergeCell ref="R34:R36"/>
    <mergeCell ref="J37:P37"/>
    <mergeCell ref="R27:R28"/>
    <mergeCell ref="J29:P29"/>
    <mergeCell ref="R30:R32"/>
    <mergeCell ref="O31:P31"/>
    <mergeCell ref="J33:P33"/>
    <mergeCell ref="J20:P20"/>
    <mergeCell ref="R21:R22"/>
    <mergeCell ref="J23:P23"/>
    <mergeCell ref="R24:R25"/>
    <mergeCell ref="J26:P26"/>
    <mergeCell ref="R11:R12"/>
    <mergeCell ref="J14:P14"/>
    <mergeCell ref="R15:R16"/>
    <mergeCell ref="J17:P17"/>
    <mergeCell ref="R18:R19"/>
    <mergeCell ref="J10:P10"/>
    <mergeCell ref="B3:B4"/>
    <mergeCell ref="R3:R5"/>
    <mergeCell ref="J6:P6"/>
    <mergeCell ref="S6:S7"/>
    <mergeCell ref="R7:R9"/>
  </mergeCells>
  <phoneticPr fontId="2"/>
  <conditionalFormatting sqref="N32 J3:J4 N3:N5 J7:J9 F3:F8 N7:N9 J11:J13 N11:N13 J15:J16 N15:N16 J18:J19 N18:N19 J21:J22 N21:N22 J24:J25 J27:J28 N27:N28 F10:F29">
    <cfRule type="expression" dxfId="59" priority="165" stopIfTrue="1">
      <formula>E3="■"</formula>
    </cfRule>
  </conditionalFormatting>
  <conditionalFormatting sqref="J20:P20">
    <cfRule type="cellIs" dxfId="58" priority="166" stopIfTrue="1" operator="notEqual">
      <formula>""</formula>
    </cfRule>
  </conditionalFormatting>
  <conditionalFormatting sqref="J35:J36 N35:N36 F36">
    <cfRule type="expression" dxfId="57" priority="164" stopIfTrue="1">
      <formula>E35=TRUE</formula>
    </cfRule>
  </conditionalFormatting>
  <conditionalFormatting sqref="J37:P37">
    <cfRule type="cellIs" dxfId="56" priority="139" stopIfTrue="1" operator="notEqual">
      <formula>""</formula>
    </cfRule>
  </conditionalFormatting>
  <conditionalFormatting sqref="J10:P10">
    <cfRule type="cellIs" dxfId="55" priority="138" stopIfTrue="1" operator="notEqual">
      <formula>""</formula>
    </cfRule>
  </conditionalFormatting>
  <conditionalFormatting sqref="J14:P14">
    <cfRule type="cellIs" dxfId="54" priority="137" stopIfTrue="1" operator="notEqual">
      <formula>""</formula>
    </cfRule>
  </conditionalFormatting>
  <conditionalFormatting sqref="J17:P17">
    <cfRule type="cellIs" dxfId="53" priority="136" stopIfTrue="1" operator="notEqual">
      <formula>""</formula>
    </cfRule>
  </conditionalFormatting>
  <conditionalFormatting sqref="J23:P23">
    <cfRule type="cellIs" dxfId="52" priority="135" stopIfTrue="1" operator="notEqual">
      <formula>""</formula>
    </cfRule>
  </conditionalFormatting>
  <conditionalFormatting sqref="J26:P26">
    <cfRule type="cellIs" dxfId="51" priority="134" stopIfTrue="1" operator="notEqual">
      <formula>""</formula>
    </cfRule>
  </conditionalFormatting>
  <conditionalFormatting sqref="J29:P29">
    <cfRule type="cellIs" dxfId="50" priority="133" stopIfTrue="1" operator="notEqual">
      <formula>""</formula>
    </cfRule>
  </conditionalFormatting>
  <conditionalFormatting sqref="J33:P33">
    <cfRule type="cellIs" dxfId="49" priority="131" stopIfTrue="1" operator="notEqual">
      <formula>""</formula>
    </cfRule>
  </conditionalFormatting>
  <conditionalFormatting sqref="I5">
    <cfRule type="expression" dxfId="48" priority="167" stopIfTrue="1">
      <formula>#REF!=TRUE</formula>
    </cfRule>
  </conditionalFormatting>
  <conditionalFormatting sqref="F9">
    <cfRule type="expression" dxfId="47" priority="121" stopIfTrue="1">
      <formula>E9="■"</formula>
    </cfRule>
  </conditionalFormatting>
  <conditionalFormatting sqref="F30:F33">
    <cfRule type="expression" dxfId="46" priority="119" stopIfTrue="1">
      <formula>E30="■"</formula>
    </cfRule>
  </conditionalFormatting>
  <conditionalFormatting sqref="J30:J32">
    <cfRule type="expression" dxfId="45" priority="110" stopIfTrue="1">
      <formula>I30="■"</formula>
    </cfRule>
  </conditionalFormatting>
  <conditionalFormatting sqref="N30:N31">
    <cfRule type="expression" dxfId="44" priority="98" stopIfTrue="1">
      <formula>M30="■"</formula>
    </cfRule>
  </conditionalFormatting>
  <conditionalFormatting sqref="F34">
    <cfRule type="expression" dxfId="43" priority="10" stopIfTrue="1">
      <formula>E34="■"</formula>
    </cfRule>
  </conditionalFormatting>
  <conditionalFormatting sqref="J34">
    <cfRule type="expression" dxfId="42" priority="8" stopIfTrue="1">
      <formula>I34="■"</formula>
    </cfRule>
  </conditionalFormatting>
  <conditionalFormatting sqref="F37">
    <cfRule type="expression" dxfId="41" priority="6" stopIfTrue="1">
      <formula>E37="■"</formula>
    </cfRule>
  </conditionalFormatting>
  <conditionalFormatting sqref="J6:P6">
    <cfRule type="cellIs" dxfId="40" priority="5" stopIfTrue="1" operator="notEqual">
      <formula>""</formula>
    </cfRule>
  </conditionalFormatting>
  <conditionalFormatting sqref="N24:N25">
    <cfRule type="expression" dxfId="39" priority="3" stopIfTrue="1">
      <formula>M24="■"</formula>
    </cfRule>
  </conditionalFormatting>
  <conditionalFormatting sqref="N34">
    <cfRule type="expression" dxfId="38" priority="2" stopIfTrue="1">
      <formula>M34="■"</formula>
    </cfRule>
  </conditionalFormatting>
  <conditionalFormatting sqref="F35">
    <cfRule type="expression" dxfId="37" priority="1" stopIfTrue="1">
      <formula>E35="■"</formula>
    </cfRule>
  </conditionalFormatting>
  <dataValidations count="2">
    <dataValidation imeMode="on" allowBlank="1" showInputMessage="1" showErrorMessage="1" sqref="J10:P10 J17:P17 J14:P14 J20:P20 J23:P23 J29:P29 J26:P26 J33:P33 J37:P37 J6:P6" xr:uid="{33E195EE-BBE0-4CE0-965A-09BA2868D4B4}"/>
    <dataValidation type="list" allowBlank="1" showInputMessage="1" showErrorMessage="1" sqref="E3:E4 I34 E37 I30:I32 M30:M31 I24 I21 E23:E24 M21 M15 I15 M3:M4 M7:M8 I7:I8 I3:I4 E6:E15 I11:I13 M11:M13 M18:M19 E17:E21 I18:I19 M24:M25 I27:I28 M27:M28 E26:E35 M34" xr:uid="{A7356FE7-9666-4861-9379-719D2A4BD90C}">
      <formula1>$W$1:$W$2</formula1>
    </dataValidation>
  </dataValidations>
  <pageMargins left="0.51181102362204722" right="0.31496062992125984" top="0.70866141732283472" bottom="0.39370078740157483" header="0.31496062992125984" footer="0.51181102362204722"/>
  <pageSetup paperSize="9" scale="86" fitToWidth="0" fitToHeight="3" orientation="portrait" useFirstPageNumber="1" r:id="rId1"/>
  <headerFooter alignWithMargins="0">
    <oddHeader>&amp;L&amp;12第１号様式　別紙４&amp;C&amp;12営　業　種　目　表&amp;R&amp;P/3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82CE-8E2B-4657-9C5C-886B797DF7F4}">
  <dimension ref="A1:W7"/>
  <sheetViews>
    <sheetView showGridLines="0" view="pageBreakPreview" zoomScaleNormal="100" zoomScaleSheetLayoutView="100" workbookViewId="0">
      <selection activeCell="A10" sqref="A10:AC13"/>
    </sheetView>
  </sheetViews>
  <sheetFormatPr defaultColWidth="9" defaultRowHeight="13.5"/>
  <cols>
    <col min="1" max="1" width="2.75" style="414" customWidth="1"/>
    <col min="2" max="2" width="13.875" style="429" customWidth="1"/>
    <col min="3" max="3" width="2.875" style="355" customWidth="1"/>
    <col min="4" max="4" width="16.875" style="429" customWidth="1"/>
    <col min="5" max="5" width="2.75" style="355" customWidth="1"/>
    <col min="6" max="6" width="2.875" style="414" customWidth="1"/>
    <col min="7" max="7" width="16.125" style="429" customWidth="1"/>
    <col min="8" max="8" width="1.375" style="355" customWidth="1"/>
    <col min="9" max="9" width="2.875" style="355" customWidth="1"/>
    <col min="10" max="10" width="3" style="391" customWidth="1"/>
    <col min="11" max="11" width="16.125" style="430" customWidth="1"/>
    <col min="12" max="12" width="1.375" style="431" customWidth="1"/>
    <col min="13" max="13" width="2.875" style="431" customWidth="1"/>
    <col min="14" max="14" width="3" style="391" customWidth="1"/>
    <col min="15" max="15" width="16.125" style="430" customWidth="1"/>
    <col min="16" max="16" width="1.25" style="431" customWidth="1"/>
    <col min="17" max="17" width="1.25" style="429" customWidth="1"/>
    <col min="18" max="19" width="6.625" style="414" customWidth="1"/>
    <col min="20" max="20" width="7.25" style="440" customWidth="1"/>
    <col min="21" max="22" width="7.25" style="433" customWidth="1"/>
    <col min="23" max="23" width="0" style="386" hidden="1" customWidth="1"/>
    <col min="24" max="16384" width="9" style="355"/>
  </cols>
  <sheetData>
    <row r="1" spans="1:23">
      <c r="A1" s="344" t="s">
        <v>248</v>
      </c>
      <c r="B1" s="345"/>
      <c r="C1" s="346" t="s">
        <v>255</v>
      </c>
      <c r="D1" s="345"/>
      <c r="E1" s="347"/>
      <c r="F1" s="348"/>
      <c r="G1" s="349"/>
      <c r="H1" s="347"/>
      <c r="I1" s="347"/>
      <c r="J1" s="350"/>
      <c r="K1" s="351"/>
      <c r="L1" s="352"/>
      <c r="M1" s="352"/>
      <c r="N1" s="350"/>
      <c r="O1" s="351"/>
      <c r="P1" s="352"/>
      <c r="Q1" s="353"/>
      <c r="R1" s="354"/>
      <c r="S1" s="355"/>
      <c r="T1" s="433"/>
      <c r="W1" s="356" t="s">
        <v>766</v>
      </c>
    </row>
    <row r="2" spans="1:23" ht="24.75" customHeight="1" thickBot="1">
      <c r="A2" s="357" t="s">
        <v>604</v>
      </c>
      <c r="B2" s="358" t="s">
        <v>49</v>
      </c>
      <c r="C2" s="359" t="s">
        <v>604</v>
      </c>
      <c r="D2" s="360" t="s">
        <v>49</v>
      </c>
      <c r="E2" s="328" t="s">
        <v>898</v>
      </c>
      <c r="F2" s="361"/>
      <c r="G2" s="362"/>
      <c r="H2" s="363"/>
      <c r="I2" s="363"/>
      <c r="J2" s="364"/>
      <c r="K2" s="365"/>
      <c r="L2" s="366"/>
      <c r="M2" s="366"/>
      <c r="N2" s="364"/>
      <c r="O2" s="365"/>
      <c r="P2" s="366"/>
      <c r="Q2" s="367"/>
      <c r="R2" s="368"/>
      <c r="S2" s="369"/>
      <c r="T2" s="432" t="s">
        <v>737</v>
      </c>
      <c r="W2" s="356" t="s">
        <v>767</v>
      </c>
    </row>
    <row r="3" spans="1:23" ht="13.5" customHeight="1">
      <c r="A3" s="370">
        <v>11</v>
      </c>
      <c r="B3" s="775" t="s">
        <v>897</v>
      </c>
      <c r="C3" s="371">
        <v>1</v>
      </c>
      <c r="D3" s="372" t="s">
        <v>902</v>
      </c>
      <c r="E3" s="336" t="s">
        <v>768</v>
      </c>
      <c r="F3" s="374">
        <v>1</v>
      </c>
      <c r="G3" s="411" t="s">
        <v>899</v>
      </c>
      <c r="H3" s="369"/>
      <c r="I3" s="340" t="s">
        <v>768</v>
      </c>
      <c r="J3" s="376">
        <v>2</v>
      </c>
      <c r="K3" s="415" t="s">
        <v>900</v>
      </c>
      <c r="L3" s="378"/>
      <c r="M3" s="340" t="s">
        <v>768</v>
      </c>
      <c r="N3" s="376">
        <v>3</v>
      </c>
      <c r="O3" s="415" t="s">
        <v>901</v>
      </c>
      <c r="P3" s="378"/>
      <c r="Q3" s="379"/>
      <c r="R3" s="774"/>
      <c r="S3" s="380"/>
      <c r="T3" s="434" t="str">
        <f>IF(E3="■","010101","")</f>
        <v/>
      </c>
      <c r="U3" s="435" t="str">
        <f>IF(I3="■","010102","")</f>
        <v/>
      </c>
      <c r="V3" s="441" t="str">
        <f>IF(M3="■","010103","")</f>
        <v/>
      </c>
      <c r="W3" s="381"/>
    </row>
    <row r="4" spans="1:23">
      <c r="A4" s="382"/>
      <c r="B4" s="775"/>
      <c r="C4" s="383"/>
      <c r="D4" s="372"/>
      <c r="E4" s="336" t="s">
        <v>768</v>
      </c>
      <c r="F4" s="384">
        <v>4</v>
      </c>
      <c r="G4" s="411" t="s">
        <v>309</v>
      </c>
      <c r="H4" s="369"/>
      <c r="I4" s="337"/>
      <c r="J4" s="376"/>
      <c r="K4" s="415"/>
      <c r="L4" s="378"/>
      <c r="M4" s="337"/>
      <c r="N4" s="376"/>
      <c r="O4" s="377"/>
      <c r="P4" s="378"/>
      <c r="Q4" s="379"/>
      <c r="R4" s="774"/>
      <c r="S4" s="384"/>
      <c r="T4" s="436" t="str">
        <f>IF(E4="■","010104","")</f>
        <v/>
      </c>
      <c r="U4" s="437" t="str">
        <f>IF(I4="■","010105","")</f>
        <v/>
      </c>
      <c r="V4" s="442"/>
    </row>
    <row r="5" spans="1:23">
      <c r="A5" s="387"/>
      <c r="B5" s="388"/>
      <c r="C5" s="383"/>
      <c r="D5" s="389"/>
      <c r="E5" s="338"/>
      <c r="F5" s="384"/>
      <c r="G5" s="375"/>
      <c r="H5" s="369"/>
      <c r="I5" s="390"/>
      <c r="K5" s="377"/>
      <c r="L5" s="378"/>
      <c r="M5" s="392"/>
      <c r="N5" s="376"/>
      <c r="O5" s="377"/>
      <c r="P5" s="378"/>
      <c r="Q5" s="379"/>
      <c r="R5" s="774"/>
      <c r="S5" s="384"/>
      <c r="T5" s="436"/>
      <c r="U5" s="437"/>
      <c r="V5" s="442"/>
    </row>
    <row r="6" spans="1:23" s="386" customFormat="1" ht="14.25" thickBot="1">
      <c r="A6" s="419"/>
      <c r="B6" s="420"/>
      <c r="C6" s="421"/>
      <c r="D6" s="422"/>
      <c r="E6" s="343" t="s">
        <v>768</v>
      </c>
      <c r="F6" s="423">
        <v>99</v>
      </c>
      <c r="G6" s="330" t="s">
        <v>465</v>
      </c>
      <c r="H6" s="424"/>
      <c r="I6" s="425" t="s">
        <v>50</v>
      </c>
      <c r="J6" s="782"/>
      <c r="K6" s="782"/>
      <c r="L6" s="782"/>
      <c r="M6" s="782"/>
      <c r="N6" s="782"/>
      <c r="O6" s="782"/>
      <c r="P6" s="782"/>
      <c r="Q6" s="426" t="s">
        <v>51</v>
      </c>
      <c r="R6" s="399" t="str">
        <f>IF(E6="■","←必須","")</f>
        <v/>
      </c>
      <c r="S6" s="413"/>
      <c r="T6" s="438" t="str">
        <f>IF(E6="■","091499","")</f>
        <v/>
      </c>
      <c r="U6" s="439"/>
      <c r="V6" s="443"/>
    </row>
    <row r="7" spans="1:23" s="386" customFormat="1">
      <c r="A7" s="414"/>
      <c r="B7" s="429"/>
      <c r="C7" s="355"/>
      <c r="D7" s="429"/>
      <c r="E7" s="355"/>
      <c r="F7" s="414"/>
      <c r="G7" s="429"/>
      <c r="H7" s="355"/>
      <c r="I7" s="355"/>
      <c r="J7" s="391"/>
      <c r="K7" s="430"/>
      <c r="L7" s="431"/>
      <c r="M7" s="431"/>
      <c r="N7" s="391"/>
      <c r="O7" s="430"/>
      <c r="P7" s="431"/>
      <c r="Q7" s="375"/>
      <c r="R7" s="413"/>
      <c r="S7" s="413"/>
      <c r="T7" s="440"/>
      <c r="U7" s="433"/>
      <c r="V7" s="433"/>
    </row>
  </sheetData>
  <sheetProtection selectLockedCells="1"/>
  <mergeCells count="3">
    <mergeCell ref="J6:P6"/>
    <mergeCell ref="B3:B4"/>
    <mergeCell ref="R3:R5"/>
  </mergeCells>
  <phoneticPr fontId="2"/>
  <conditionalFormatting sqref="J3:J4 N3:N5 F3:F5">
    <cfRule type="expression" dxfId="36" priority="21" stopIfTrue="1">
      <formula>E3="■"</formula>
    </cfRule>
  </conditionalFormatting>
  <conditionalFormatting sqref="J6:P6">
    <cfRule type="cellIs" dxfId="35" priority="19" stopIfTrue="1" operator="notEqual">
      <formula>""</formula>
    </cfRule>
  </conditionalFormatting>
  <conditionalFormatting sqref="I5">
    <cfRule type="expression" dxfId="34" priority="23" stopIfTrue="1">
      <formula>#REF!=TRUE</formula>
    </cfRule>
  </conditionalFormatting>
  <conditionalFormatting sqref="F6">
    <cfRule type="expression" dxfId="33" priority="5" stopIfTrue="1">
      <formula>E6="■"</formula>
    </cfRule>
  </conditionalFormatting>
  <dataValidations count="2">
    <dataValidation type="list" allowBlank="1" showInputMessage="1" showErrorMessage="1" sqref="E3:E4 E6 M3:M4 I3:I4" xr:uid="{306DE422-3A62-4D82-99BC-020D82D06947}">
      <formula1>$W$1:$W$2</formula1>
    </dataValidation>
    <dataValidation imeMode="on" allowBlank="1" showInputMessage="1" showErrorMessage="1" sqref="J6:P6" xr:uid="{66F2EB17-BA59-42C1-9E99-E58FEB2B3514}"/>
  </dataValidations>
  <pageMargins left="0.51181102362204722" right="0.31496062992125984" top="0.70866141732283472" bottom="0.39370078740157483" header="0.31496062992125984" footer="0.51181102362204722"/>
  <pageSetup paperSize="9" scale="86" fitToWidth="0" fitToHeight="3" orientation="portrait" useFirstPageNumber="1" r:id="rId1"/>
  <headerFooter alignWithMargins="0">
    <oddHeader>&amp;L&amp;12第１号様式　別紙４&amp;C&amp;12営　業　種　目　表&amp;R&amp;P/3</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2E23-8049-4CDE-A065-7701688D18D7}">
  <dimension ref="A1:AL16"/>
  <sheetViews>
    <sheetView showGridLines="0" showZeros="0" zoomScaleNormal="100" workbookViewId="0">
      <selection activeCell="A8" sqref="A8:AE14"/>
    </sheetView>
  </sheetViews>
  <sheetFormatPr defaultColWidth="2.75" defaultRowHeight="13.5"/>
  <cols>
    <col min="1" max="6" width="2.75" style="314" customWidth="1"/>
    <col min="7" max="7" width="3.75" style="314" customWidth="1"/>
    <col min="8" max="31" width="2.75" style="314" customWidth="1"/>
    <col min="32" max="32" width="0.5" style="314" customWidth="1"/>
    <col min="33" max="33" width="2" style="314" customWidth="1"/>
    <col min="34" max="38" width="2.5" style="314" hidden="1" customWidth="1"/>
    <col min="39" max="41" width="2.5" style="314" customWidth="1"/>
    <col min="42" max="16384" width="2.75" style="314"/>
  </cols>
  <sheetData>
    <row r="1" spans="1:37">
      <c r="A1" s="310" t="s">
        <v>759</v>
      </c>
      <c r="B1" s="311"/>
      <c r="C1" s="312"/>
      <c r="D1" s="312"/>
      <c r="E1" s="312"/>
      <c r="F1" s="312"/>
      <c r="G1" s="312"/>
      <c r="H1" s="313"/>
      <c r="I1" s="312"/>
      <c r="J1" s="312"/>
      <c r="K1" s="312"/>
      <c r="L1" s="312"/>
      <c r="M1" s="312"/>
      <c r="N1" s="312"/>
      <c r="O1" s="312"/>
      <c r="P1" s="312"/>
      <c r="Q1" s="312" t="str">
        <f>IF(第１号様式!$H$21="","",第１号様式!$H$21)</f>
        <v/>
      </c>
      <c r="R1" s="312"/>
      <c r="S1" s="312"/>
      <c r="T1" s="312"/>
      <c r="U1" s="312"/>
      <c r="V1" s="312"/>
      <c r="W1" s="312"/>
      <c r="X1" s="312"/>
      <c r="Y1" s="312"/>
      <c r="Z1" s="312"/>
      <c r="AA1" s="312"/>
      <c r="AB1" s="312"/>
      <c r="AC1" s="312"/>
      <c r="AD1" s="312"/>
      <c r="AE1" s="312"/>
    </row>
    <row r="2" spans="1:37" ht="14.25" thickBot="1">
      <c r="A2" s="310"/>
      <c r="B2" s="311"/>
      <c r="C2" s="312"/>
      <c r="D2" s="312"/>
      <c r="E2" s="312"/>
      <c r="F2" s="312"/>
      <c r="G2" s="312"/>
      <c r="H2" s="311"/>
      <c r="I2" s="312"/>
      <c r="J2" s="312"/>
      <c r="K2" s="312"/>
      <c r="L2" s="312"/>
      <c r="M2" s="312"/>
      <c r="N2" s="312"/>
      <c r="O2" s="312"/>
      <c r="P2" s="312"/>
      <c r="Q2" s="312"/>
      <c r="R2" s="312"/>
      <c r="S2" s="312"/>
      <c r="T2" s="312"/>
      <c r="U2" s="312"/>
      <c r="V2" s="312"/>
      <c r="W2" s="312"/>
      <c r="X2" s="312"/>
      <c r="Y2" s="312"/>
      <c r="Z2" s="312"/>
      <c r="AA2" s="312"/>
      <c r="AB2" s="312"/>
      <c r="AC2" s="312"/>
      <c r="AD2" s="312"/>
      <c r="AE2" s="312"/>
      <c r="AI2" s="314" t="s">
        <v>740</v>
      </c>
      <c r="AJ2" s="314" t="s">
        <v>217</v>
      </c>
      <c r="AK2" s="314" t="s">
        <v>218</v>
      </c>
    </row>
    <row r="3" spans="1:37">
      <c r="A3" s="787" t="s">
        <v>741</v>
      </c>
      <c r="B3" s="788"/>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315"/>
      <c r="AD3" s="315"/>
      <c r="AE3" s="316"/>
      <c r="AI3" s="314" t="s">
        <v>742</v>
      </c>
      <c r="AJ3" s="314" t="s">
        <v>218</v>
      </c>
      <c r="AK3" s="314" t="s">
        <v>217</v>
      </c>
    </row>
    <row r="4" spans="1:37">
      <c r="A4" s="789"/>
      <c r="B4" s="790"/>
      <c r="C4" s="790"/>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317"/>
      <c r="AD4" s="317"/>
      <c r="AE4" s="318"/>
      <c r="AI4" s="314" t="s">
        <v>743</v>
      </c>
      <c r="AJ4" s="314" t="s">
        <v>217</v>
      </c>
      <c r="AK4" s="314" t="s">
        <v>218</v>
      </c>
    </row>
    <row r="5" spans="1:37" ht="20.100000000000001" customHeight="1">
      <c r="A5" s="791" t="s">
        <v>744</v>
      </c>
      <c r="B5" s="794"/>
      <c r="C5" s="795"/>
      <c r="D5" s="795"/>
      <c r="E5" s="795"/>
      <c r="F5" s="795"/>
      <c r="G5" s="796"/>
      <c r="H5" s="797" t="str">
        <f>IF(B5="","",VLOOKUP(B5,$AI$2:$AK$3,2,FALSE))</f>
        <v/>
      </c>
      <c r="I5" s="798"/>
      <c r="J5" s="798"/>
      <c r="K5" s="799"/>
      <c r="L5" s="797" t="str">
        <f>IF(B5="","",VLOOKUP(B5,$AI$2:$AK$3,3,FALSE))</f>
        <v/>
      </c>
      <c r="M5" s="798"/>
      <c r="N5" s="798"/>
      <c r="O5" s="799"/>
      <c r="P5" s="800" t="s">
        <v>825</v>
      </c>
      <c r="Q5" s="801"/>
      <c r="R5" s="801"/>
      <c r="S5" s="801"/>
      <c r="T5" s="801"/>
      <c r="U5" s="801"/>
      <c r="V5" s="801"/>
      <c r="W5" s="801"/>
      <c r="X5" s="801"/>
      <c r="Y5" s="801"/>
      <c r="Z5" s="801"/>
      <c r="AA5" s="801"/>
      <c r="AB5" s="801"/>
      <c r="AC5" s="801"/>
      <c r="AD5" s="801"/>
      <c r="AE5" s="802"/>
      <c r="AI5" s="314" t="s">
        <v>745</v>
      </c>
      <c r="AJ5" s="314" t="s">
        <v>218</v>
      </c>
      <c r="AK5" s="314" t="s">
        <v>217</v>
      </c>
    </row>
    <row r="6" spans="1:37" ht="14.25" customHeight="1">
      <c r="A6" s="792"/>
      <c r="B6" s="806" t="s">
        <v>746</v>
      </c>
      <c r="C6" s="807"/>
      <c r="D6" s="807"/>
      <c r="E6" s="807"/>
      <c r="F6" s="807"/>
      <c r="G6" s="808"/>
      <c r="H6" s="319"/>
      <c r="I6" s="320"/>
      <c r="J6" s="320"/>
      <c r="K6" s="321"/>
      <c r="L6" s="319"/>
      <c r="M6" s="320"/>
      <c r="N6" s="320"/>
      <c r="O6" s="321"/>
      <c r="P6" s="803"/>
      <c r="Q6" s="804"/>
      <c r="R6" s="804"/>
      <c r="S6" s="804"/>
      <c r="T6" s="804"/>
      <c r="U6" s="804"/>
      <c r="V6" s="804"/>
      <c r="W6" s="804"/>
      <c r="X6" s="804"/>
      <c r="Y6" s="804"/>
      <c r="Z6" s="804"/>
      <c r="AA6" s="804"/>
      <c r="AB6" s="804"/>
      <c r="AC6" s="804"/>
      <c r="AD6" s="804"/>
      <c r="AE6" s="805"/>
    </row>
    <row r="7" spans="1:37" ht="60" customHeight="1">
      <c r="A7" s="793"/>
      <c r="B7" s="809"/>
      <c r="C7" s="810"/>
      <c r="D7" s="810"/>
      <c r="E7" s="810"/>
      <c r="F7" s="810"/>
      <c r="G7" s="811"/>
      <c r="H7" s="812" t="s">
        <v>826</v>
      </c>
      <c r="I7" s="813"/>
      <c r="J7" s="813"/>
      <c r="K7" s="814"/>
      <c r="L7" s="812" t="s">
        <v>827</v>
      </c>
      <c r="M7" s="813"/>
      <c r="N7" s="813"/>
      <c r="O7" s="814"/>
      <c r="P7" s="815"/>
      <c r="Q7" s="816"/>
      <c r="R7" s="816"/>
      <c r="S7" s="816"/>
      <c r="T7" s="816"/>
      <c r="U7" s="816"/>
      <c r="V7" s="816"/>
      <c r="W7" s="816"/>
      <c r="X7" s="816"/>
      <c r="Y7" s="816"/>
      <c r="Z7" s="816"/>
      <c r="AA7" s="816"/>
      <c r="AB7" s="816"/>
      <c r="AC7" s="816"/>
      <c r="AD7" s="816"/>
      <c r="AE7" s="817"/>
      <c r="AI7" s="314" t="s">
        <v>747</v>
      </c>
      <c r="AJ7" s="314" t="s">
        <v>217</v>
      </c>
      <c r="AK7" s="314" t="s">
        <v>218</v>
      </c>
    </row>
    <row r="8" spans="1:37" ht="20.100000000000001" customHeight="1">
      <c r="A8" s="791" t="s">
        <v>748</v>
      </c>
      <c r="B8" s="794"/>
      <c r="C8" s="795"/>
      <c r="D8" s="795"/>
      <c r="E8" s="795"/>
      <c r="F8" s="795"/>
      <c r="G8" s="796"/>
      <c r="H8" s="797" t="str">
        <f>IF(B8="","",VLOOKUP(B8,$AI$2:$AK$3,2,FALSE))</f>
        <v/>
      </c>
      <c r="I8" s="798"/>
      <c r="J8" s="798"/>
      <c r="K8" s="799"/>
      <c r="L8" s="797" t="str">
        <f>IF(B8="","",VLOOKUP(B8,$AI$2:$AK$3,3,FALSE))</f>
        <v/>
      </c>
      <c r="M8" s="798"/>
      <c r="N8" s="798"/>
      <c r="O8" s="799"/>
      <c r="P8" s="800" t="s">
        <v>828</v>
      </c>
      <c r="Q8" s="818"/>
      <c r="R8" s="818"/>
      <c r="S8" s="818"/>
      <c r="T8" s="818"/>
      <c r="U8" s="818"/>
      <c r="V8" s="818"/>
      <c r="W8" s="818"/>
      <c r="X8" s="818"/>
      <c r="Y8" s="818"/>
      <c r="Z8" s="818"/>
      <c r="AA8" s="818"/>
      <c r="AB8" s="818"/>
      <c r="AC8" s="818"/>
      <c r="AD8" s="818"/>
      <c r="AE8" s="819"/>
      <c r="AI8" s="314" t="s">
        <v>749</v>
      </c>
      <c r="AJ8" s="314" t="s">
        <v>218</v>
      </c>
      <c r="AK8" s="314" t="s">
        <v>217</v>
      </c>
    </row>
    <row r="9" spans="1:37" ht="14.25" customHeight="1">
      <c r="A9" s="792"/>
      <c r="B9" s="806" t="s">
        <v>750</v>
      </c>
      <c r="C9" s="807"/>
      <c r="D9" s="807"/>
      <c r="E9" s="807"/>
      <c r="F9" s="807"/>
      <c r="G9" s="808"/>
      <c r="H9" s="319"/>
      <c r="I9" s="320"/>
      <c r="J9" s="320"/>
      <c r="K9" s="321"/>
      <c r="L9" s="319"/>
      <c r="M9" s="320"/>
      <c r="N9" s="320"/>
      <c r="O9" s="321"/>
      <c r="P9" s="820"/>
      <c r="Q9" s="821"/>
      <c r="R9" s="821"/>
      <c r="S9" s="821"/>
      <c r="T9" s="821"/>
      <c r="U9" s="821"/>
      <c r="V9" s="821"/>
      <c r="W9" s="821"/>
      <c r="X9" s="821"/>
      <c r="Y9" s="821"/>
      <c r="Z9" s="821"/>
      <c r="AA9" s="821"/>
      <c r="AB9" s="821"/>
      <c r="AC9" s="821"/>
      <c r="AD9" s="821"/>
      <c r="AE9" s="822"/>
    </row>
    <row r="10" spans="1:37" ht="60" customHeight="1">
      <c r="A10" s="793"/>
      <c r="B10" s="809"/>
      <c r="C10" s="810"/>
      <c r="D10" s="810"/>
      <c r="E10" s="810"/>
      <c r="F10" s="810"/>
      <c r="G10" s="811"/>
      <c r="H10" s="812" t="s">
        <v>826</v>
      </c>
      <c r="I10" s="813"/>
      <c r="J10" s="813"/>
      <c r="K10" s="814"/>
      <c r="L10" s="812" t="s">
        <v>827</v>
      </c>
      <c r="M10" s="813"/>
      <c r="N10" s="813"/>
      <c r="O10" s="814"/>
      <c r="P10" s="815"/>
      <c r="Q10" s="816"/>
      <c r="R10" s="816"/>
      <c r="S10" s="816"/>
      <c r="T10" s="816"/>
      <c r="U10" s="816"/>
      <c r="V10" s="816"/>
      <c r="W10" s="816"/>
      <c r="X10" s="816"/>
      <c r="Y10" s="816"/>
      <c r="Z10" s="816"/>
      <c r="AA10" s="816"/>
      <c r="AB10" s="816"/>
      <c r="AC10" s="816"/>
      <c r="AD10" s="816"/>
      <c r="AE10" s="817"/>
      <c r="AI10" s="314" t="s">
        <v>751</v>
      </c>
      <c r="AJ10" s="314" t="s">
        <v>752</v>
      </c>
      <c r="AK10" s="314" t="s">
        <v>218</v>
      </c>
    </row>
    <row r="11" spans="1:37" ht="20.100000000000001" customHeight="1">
      <c r="A11" s="791" t="s">
        <v>753</v>
      </c>
      <c r="B11" s="794"/>
      <c r="C11" s="795"/>
      <c r="D11" s="795"/>
      <c r="E11" s="795"/>
      <c r="F11" s="795"/>
      <c r="G11" s="796"/>
      <c r="H11" s="797" t="str">
        <f>IF(B11="","",VLOOKUP(B11,$AI$4:$AK$5,2,FALSE))</f>
        <v/>
      </c>
      <c r="I11" s="798"/>
      <c r="J11" s="798"/>
      <c r="K11" s="799"/>
      <c r="L11" s="797" t="str">
        <f>IF(B11="","",VLOOKUP(B11,$AI$4:$AK$5,3,FALSE))</f>
        <v/>
      </c>
      <c r="M11" s="798"/>
      <c r="N11" s="798"/>
      <c r="O11" s="799"/>
      <c r="P11" s="824"/>
      <c r="Q11" s="825"/>
      <c r="R11" s="825"/>
      <c r="S11" s="825"/>
      <c r="T11" s="825"/>
      <c r="U11" s="825"/>
      <c r="V11" s="825"/>
      <c r="W11" s="825"/>
      <c r="X11" s="825"/>
      <c r="Y11" s="825"/>
      <c r="Z11" s="825"/>
      <c r="AA11" s="825"/>
      <c r="AB11" s="825"/>
      <c r="AC11" s="825"/>
      <c r="AD11" s="825"/>
      <c r="AE11" s="826"/>
      <c r="AI11" s="314" t="s">
        <v>754</v>
      </c>
      <c r="AJ11" s="314" t="s">
        <v>218</v>
      </c>
      <c r="AK11" s="314" t="s">
        <v>752</v>
      </c>
    </row>
    <row r="12" spans="1:37" ht="60" customHeight="1">
      <c r="A12" s="823"/>
      <c r="B12" s="830" t="s">
        <v>755</v>
      </c>
      <c r="C12" s="831"/>
      <c r="D12" s="831"/>
      <c r="E12" s="831"/>
      <c r="F12" s="831"/>
      <c r="G12" s="832"/>
      <c r="H12" s="812" t="s">
        <v>829</v>
      </c>
      <c r="I12" s="813"/>
      <c r="J12" s="813"/>
      <c r="K12" s="814"/>
      <c r="L12" s="812" t="s">
        <v>830</v>
      </c>
      <c r="M12" s="813"/>
      <c r="N12" s="813"/>
      <c r="O12" s="814"/>
      <c r="P12" s="827"/>
      <c r="Q12" s="828"/>
      <c r="R12" s="828"/>
      <c r="S12" s="828"/>
      <c r="T12" s="828"/>
      <c r="U12" s="828"/>
      <c r="V12" s="828"/>
      <c r="W12" s="828"/>
      <c r="X12" s="828"/>
      <c r="Y12" s="828"/>
      <c r="Z12" s="828"/>
      <c r="AA12" s="828"/>
      <c r="AB12" s="828"/>
      <c r="AC12" s="828"/>
      <c r="AD12" s="828"/>
      <c r="AE12" s="829"/>
    </row>
    <row r="13" spans="1:37" ht="19.5" customHeight="1">
      <c r="A13" s="791" t="s">
        <v>756</v>
      </c>
      <c r="B13" s="794"/>
      <c r="C13" s="795"/>
      <c r="D13" s="795"/>
      <c r="E13" s="795"/>
      <c r="F13" s="795"/>
      <c r="G13" s="796"/>
      <c r="H13" s="797" t="str">
        <f>IF(B13="","",VLOOKUP(B13,AI7:AK8,2,FALSE))</f>
        <v/>
      </c>
      <c r="I13" s="798"/>
      <c r="J13" s="798"/>
      <c r="K13" s="799"/>
      <c r="L13" s="797" t="str">
        <f>IF(B13="","",VLOOKUP(B13,AI7:AK8,3,FALSE))</f>
        <v/>
      </c>
      <c r="M13" s="798"/>
      <c r="N13" s="798"/>
      <c r="O13" s="799"/>
      <c r="P13" s="824"/>
      <c r="Q13" s="825"/>
      <c r="R13" s="825"/>
      <c r="S13" s="825"/>
      <c r="T13" s="825"/>
      <c r="U13" s="825"/>
      <c r="V13" s="825"/>
      <c r="W13" s="825"/>
      <c r="X13" s="825"/>
      <c r="Y13" s="825"/>
      <c r="Z13" s="825"/>
      <c r="AA13" s="825"/>
      <c r="AB13" s="825"/>
      <c r="AC13" s="825"/>
      <c r="AD13" s="825"/>
      <c r="AE13" s="826"/>
    </row>
    <row r="14" spans="1:37" ht="60" customHeight="1">
      <c r="A14" s="793"/>
      <c r="B14" s="830" t="s">
        <v>757</v>
      </c>
      <c r="C14" s="831"/>
      <c r="D14" s="831"/>
      <c r="E14" s="831"/>
      <c r="F14" s="831"/>
      <c r="G14" s="832"/>
      <c r="H14" s="812" t="s">
        <v>831</v>
      </c>
      <c r="I14" s="813"/>
      <c r="J14" s="813"/>
      <c r="K14" s="814"/>
      <c r="L14" s="812" t="s">
        <v>832</v>
      </c>
      <c r="M14" s="813"/>
      <c r="N14" s="813"/>
      <c r="O14" s="814"/>
      <c r="P14" s="833"/>
      <c r="Q14" s="834"/>
      <c r="R14" s="834"/>
      <c r="S14" s="834"/>
      <c r="T14" s="834"/>
      <c r="U14" s="834"/>
      <c r="V14" s="834"/>
      <c r="W14" s="834"/>
      <c r="X14" s="834"/>
      <c r="Y14" s="834"/>
      <c r="Z14" s="834"/>
      <c r="AA14" s="834"/>
      <c r="AB14" s="834"/>
      <c r="AC14" s="834"/>
      <c r="AD14" s="834"/>
      <c r="AE14" s="835"/>
    </row>
    <row r="15" spans="1:37" ht="19.5" customHeight="1">
      <c r="A15" s="792" t="s">
        <v>758</v>
      </c>
      <c r="B15" s="837"/>
      <c r="C15" s="838"/>
      <c r="D15" s="838"/>
      <c r="E15" s="838"/>
      <c r="F15" s="838"/>
      <c r="G15" s="839"/>
      <c r="H15" s="840" t="str">
        <f>IF(B15="","",VLOOKUP(B15,AI10:AK11,2,FALSE))</f>
        <v/>
      </c>
      <c r="I15" s="841"/>
      <c r="J15" s="841"/>
      <c r="K15" s="842"/>
      <c r="L15" s="840" t="str">
        <f>IF(B15="","",VLOOKUP(B15,AI10:AK11,3,FALSE))</f>
        <v/>
      </c>
      <c r="M15" s="841"/>
      <c r="N15" s="841"/>
      <c r="O15" s="842"/>
      <c r="P15" s="843" t="s">
        <v>833</v>
      </c>
      <c r="Q15" s="844"/>
      <c r="R15" s="844"/>
      <c r="S15" s="844"/>
      <c r="T15" s="844"/>
      <c r="U15" s="844"/>
      <c r="V15" s="844"/>
      <c r="W15" s="844"/>
      <c r="X15" s="844"/>
      <c r="Y15" s="844"/>
      <c r="Z15" s="844"/>
      <c r="AA15" s="844"/>
      <c r="AB15" s="844"/>
      <c r="AC15" s="844"/>
      <c r="AD15" s="844"/>
      <c r="AE15" s="845"/>
    </row>
    <row r="16" spans="1:37" ht="60" customHeight="1" thickBot="1">
      <c r="A16" s="836"/>
      <c r="B16" s="846" t="s">
        <v>834</v>
      </c>
      <c r="C16" s="847"/>
      <c r="D16" s="847"/>
      <c r="E16" s="847"/>
      <c r="F16" s="847"/>
      <c r="G16" s="848"/>
      <c r="H16" s="849" t="s">
        <v>751</v>
      </c>
      <c r="I16" s="850"/>
      <c r="J16" s="850"/>
      <c r="K16" s="851"/>
      <c r="L16" s="849" t="s">
        <v>754</v>
      </c>
      <c r="M16" s="850"/>
      <c r="N16" s="850"/>
      <c r="O16" s="851"/>
      <c r="P16" s="852"/>
      <c r="Q16" s="853"/>
      <c r="R16" s="853"/>
      <c r="S16" s="853"/>
      <c r="T16" s="853"/>
      <c r="U16" s="853"/>
      <c r="V16" s="853"/>
      <c r="W16" s="853"/>
      <c r="X16" s="853"/>
      <c r="Y16" s="853"/>
      <c r="Z16" s="853"/>
      <c r="AA16" s="853"/>
      <c r="AB16" s="853"/>
      <c r="AC16" s="853"/>
      <c r="AD16" s="853"/>
      <c r="AE16" s="854"/>
    </row>
  </sheetData>
  <sheetProtection selectLockedCells="1"/>
  <mergeCells count="44">
    <mergeCell ref="A15:A16"/>
    <mergeCell ref="B15:G15"/>
    <mergeCell ref="H15:K15"/>
    <mergeCell ref="L15:O15"/>
    <mergeCell ref="P15:AE15"/>
    <mergeCell ref="B16:G16"/>
    <mergeCell ref="H16:K16"/>
    <mergeCell ref="L16:O16"/>
    <mergeCell ref="P16:AE16"/>
    <mergeCell ref="A13:A14"/>
    <mergeCell ref="B13:G13"/>
    <mergeCell ref="H13:K13"/>
    <mergeCell ref="L13:O13"/>
    <mergeCell ref="P13:AE14"/>
    <mergeCell ref="B14:G14"/>
    <mergeCell ref="H14:K14"/>
    <mergeCell ref="L14:O14"/>
    <mergeCell ref="A11:A12"/>
    <mergeCell ref="B11:G11"/>
    <mergeCell ref="H11:K11"/>
    <mergeCell ref="L11:O11"/>
    <mergeCell ref="P11:AE12"/>
    <mergeCell ref="B12:G12"/>
    <mergeCell ref="H12:K12"/>
    <mergeCell ref="L12:O12"/>
    <mergeCell ref="A8:A10"/>
    <mergeCell ref="B8:G8"/>
    <mergeCell ref="H8:K8"/>
    <mergeCell ref="L8:O8"/>
    <mergeCell ref="P8:AE9"/>
    <mergeCell ref="B9:G10"/>
    <mergeCell ref="H10:K10"/>
    <mergeCell ref="L10:O10"/>
    <mergeCell ref="P10:AE10"/>
    <mergeCell ref="A3:AB4"/>
    <mergeCell ref="A5:A7"/>
    <mergeCell ref="B5:G5"/>
    <mergeCell ref="H5:K5"/>
    <mergeCell ref="L5:O5"/>
    <mergeCell ref="P5:AE6"/>
    <mergeCell ref="B6:G7"/>
    <mergeCell ref="H7:K7"/>
    <mergeCell ref="L7:O7"/>
    <mergeCell ref="P7:AE7"/>
  </mergeCells>
  <phoneticPr fontId="2"/>
  <conditionalFormatting sqref="AC4:AE4">
    <cfRule type="expression" dxfId="32" priority="8" stopIfTrue="1">
      <formula>#REF!=1</formula>
    </cfRule>
    <cfRule type="expression" dxfId="31" priority="9" stopIfTrue="1">
      <formula>#REF!=2</formula>
    </cfRule>
  </conditionalFormatting>
  <conditionalFormatting sqref="AD3:AE3">
    <cfRule type="expression" dxfId="30" priority="10" stopIfTrue="1">
      <formula>#REF!=1</formula>
    </cfRule>
    <cfRule type="expression" dxfId="29" priority="11" stopIfTrue="1">
      <formula>#REF!=2</formula>
    </cfRule>
  </conditionalFormatting>
  <conditionalFormatting sqref="A3">
    <cfRule type="expression" dxfId="28" priority="12" stopIfTrue="1">
      <formula>#REF!=1</formula>
    </cfRule>
    <cfRule type="expression" dxfId="27" priority="13" stopIfTrue="1">
      <formula>#REF!=2</formula>
    </cfRule>
  </conditionalFormatting>
  <conditionalFormatting sqref="A5:A6 A8 A11 A13">
    <cfRule type="expression" dxfId="26" priority="14" stopIfTrue="1">
      <formula>#REF!=1</formula>
    </cfRule>
    <cfRule type="expression" dxfId="25" priority="15" stopIfTrue="1">
      <formula>#REF!=2</formula>
    </cfRule>
  </conditionalFormatting>
  <conditionalFormatting sqref="P10:AE10 P7">
    <cfRule type="cellIs" dxfId="24" priority="16" stopIfTrue="1" operator="notEqual">
      <formula>""</formula>
    </cfRule>
  </conditionalFormatting>
  <conditionalFormatting sqref="H7:K7">
    <cfRule type="expression" dxfId="23" priority="17" stopIfTrue="1">
      <formula>$B$5="加入していない"</formula>
    </cfRule>
  </conditionalFormatting>
  <conditionalFormatting sqref="L7:O7">
    <cfRule type="expression" dxfId="22" priority="18" stopIfTrue="1">
      <formula>$B$5="加入している"</formula>
    </cfRule>
  </conditionalFormatting>
  <conditionalFormatting sqref="H10:K10">
    <cfRule type="expression" dxfId="21" priority="19" stopIfTrue="1">
      <formula>$B$8="加入していない"</formula>
    </cfRule>
  </conditionalFormatting>
  <conditionalFormatting sqref="L10:O10">
    <cfRule type="expression" dxfId="20" priority="20" stopIfTrue="1">
      <formula>$B$8="加入している"</formula>
    </cfRule>
  </conditionalFormatting>
  <conditionalFormatting sqref="H12:K12">
    <cfRule type="expression" dxfId="19" priority="21" stopIfTrue="1">
      <formula>$B$11="遵守していない"</formula>
    </cfRule>
  </conditionalFormatting>
  <conditionalFormatting sqref="L12:O12">
    <cfRule type="expression" dxfId="18" priority="22" stopIfTrue="1">
      <formula>$B$11="遵守している"</formula>
    </cfRule>
  </conditionalFormatting>
  <conditionalFormatting sqref="H14:K14">
    <cfRule type="expression" dxfId="17" priority="23" stopIfTrue="1">
      <formula>$B$13="行っていない"</formula>
    </cfRule>
  </conditionalFormatting>
  <conditionalFormatting sqref="L14:O14">
    <cfRule type="expression" dxfId="16" priority="24" stopIfTrue="1">
      <formula>$B$13="行っている"</formula>
    </cfRule>
  </conditionalFormatting>
  <conditionalFormatting sqref="A15">
    <cfRule type="expression" dxfId="15" priority="6" stopIfTrue="1">
      <formula>#REF!=1</formula>
    </cfRule>
    <cfRule type="expression" dxfId="14" priority="7" stopIfTrue="1">
      <formula>#REF!=2</formula>
    </cfRule>
  </conditionalFormatting>
  <conditionalFormatting sqref="P16:AE16">
    <cfRule type="cellIs" dxfId="13" priority="5" stopIfTrue="1" operator="notEqual">
      <formula>""</formula>
    </cfRule>
  </conditionalFormatting>
  <conditionalFormatting sqref="H16:K16">
    <cfRule type="expression" dxfId="12" priority="4" stopIfTrue="1">
      <formula>$B$15="あり"</formula>
    </cfRule>
  </conditionalFormatting>
  <conditionalFormatting sqref="L16:O16">
    <cfRule type="expression" dxfId="11" priority="3" stopIfTrue="1">
      <formula>$B$15="なし"</formula>
    </cfRule>
  </conditionalFormatting>
  <conditionalFormatting sqref="A9">
    <cfRule type="expression" dxfId="10" priority="1" stopIfTrue="1">
      <formula>#REF!=1</formula>
    </cfRule>
    <cfRule type="expression" dxfId="9" priority="2" stopIfTrue="1">
      <formula>#REF!=2</formula>
    </cfRule>
  </conditionalFormatting>
  <dataValidations count="5">
    <dataValidation type="list" allowBlank="1" showErrorMessage="1" prompt="右のボタンから実施状況を選択してください。" sqref="B15:G15" xr:uid="{3CE0CE75-D236-4EB7-9A3C-4300B38BFD81}">
      <formula1>$AI$10:$AI$11</formula1>
    </dataValidation>
    <dataValidation imeMode="hiragana" allowBlank="1" showInputMessage="1" showErrorMessage="1" sqref="P16:AE16 P10:AE10 P7" xr:uid="{AFD3E693-2AB1-4D14-8B20-7A152E221A7B}"/>
    <dataValidation type="list" allowBlank="1" showErrorMessage="1" prompt="右のボタンから実施状況を選択してください。" sqref="B13:G13" xr:uid="{28E23382-F54F-4140-ABD0-57FE61AF38BF}">
      <formula1>$AI$7:$AI$8</formula1>
    </dataValidation>
    <dataValidation type="list" allowBlank="1" showErrorMessage="1" prompt="右のボタンから尊守状況を選択してください。" sqref="B11:G11" xr:uid="{55C4507A-E9DE-4CD0-8647-1944BAA83DBF}">
      <formula1>$AI$4:$AI$5</formula1>
    </dataValidation>
    <dataValidation type="list" allowBlank="1" showErrorMessage="1" prompt="右のボタンから加入状況を選択してください。" sqref="B5:G5 B8:G8" xr:uid="{ADC92954-8B33-4C5E-8316-077EE6EDF77E}">
      <formula1>$AI$2:$AI$3</formula1>
    </dataValidation>
  </dataValidations>
  <pageMargins left="0.75" right="0.75" top="1" bottom="1" header="0.51200000000000001" footer="0.51200000000000001"/>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O54"/>
  <sheetViews>
    <sheetView showGridLines="0" showZeros="0" view="pageBreakPreview" zoomScale="110" zoomScaleNormal="100" zoomScaleSheetLayoutView="110" workbookViewId="0">
      <selection activeCell="A9" sqref="A9:AG19"/>
    </sheetView>
  </sheetViews>
  <sheetFormatPr defaultColWidth="2.625" defaultRowHeight="12.75" customHeight="1"/>
  <cols>
    <col min="1" max="9" width="2.625" style="4" customWidth="1"/>
    <col min="10" max="12" width="1.625" style="4" customWidth="1"/>
    <col min="13" max="19" width="2.625" style="4" customWidth="1"/>
    <col min="20" max="22" width="1.625" style="4" customWidth="1"/>
    <col min="23" max="28" width="2.625" style="4" customWidth="1"/>
    <col min="29" max="29" width="3.625" style="4" customWidth="1"/>
    <col min="30" max="32" width="1.625" style="4" customWidth="1"/>
    <col min="33" max="35" width="2.625" style="4" customWidth="1"/>
    <col min="36" max="36" width="3.375" style="4" customWidth="1"/>
    <col min="37" max="38" width="2.625" style="4" customWidth="1"/>
    <col min="39" max="39" width="3.125" style="4" customWidth="1"/>
    <col min="40" max="40" width="2.625" style="4"/>
    <col min="41" max="41" width="2.625" style="108"/>
    <col min="42" max="16384" width="2.625" style="4"/>
  </cols>
  <sheetData>
    <row r="1" spans="1:41" ht="12.75" customHeight="1">
      <c r="A1" s="1" t="s">
        <v>113</v>
      </c>
      <c r="Y1" s="71" t="str">
        <f>IF(第１号様式!$H$21="","",第１号様式!$H$21)</f>
        <v/>
      </c>
      <c r="AA1" s="71"/>
    </row>
    <row r="2" spans="1:41" ht="15" customHeight="1">
      <c r="A2" s="1"/>
      <c r="I2" s="650" t="s">
        <v>46</v>
      </c>
      <c r="J2" s="650"/>
      <c r="K2" s="650"/>
      <c r="L2" s="650"/>
      <c r="M2" s="650"/>
      <c r="N2" s="650"/>
      <c r="O2" s="650"/>
      <c r="P2" s="650"/>
      <c r="Q2" s="650"/>
      <c r="R2" s="650"/>
      <c r="S2" s="650"/>
      <c r="T2" s="650"/>
      <c r="U2" s="650"/>
      <c r="V2" s="650"/>
      <c r="W2" s="650"/>
      <c r="X2" s="650"/>
      <c r="Y2" s="650"/>
      <c r="Z2" s="650"/>
      <c r="AA2" s="650"/>
      <c r="AB2" s="650"/>
      <c r="AC2" s="27"/>
    </row>
    <row r="3" spans="1:41" ht="8.25" customHeight="1">
      <c r="A3" s="1"/>
      <c r="I3" s="103"/>
      <c r="J3" s="103"/>
      <c r="K3" s="103"/>
      <c r="L3" s="103"/>
      <c r="M3" s="103"/>
      <c r="N3" s="103"/>
      <c r="O3" s="103"/>
      <c r="P3" s="103"/>
      <c r="Q3" s="103"/>
      <c r="R3" s="103"/>
      <c r="S3" s="103"/>
      <c r="T3" s="103"/>
      <c r="U3" s="103"/>
      <c r="V3" s="103"/>
      <c r="W3" s="103"/>
      <c r="X3" s="103"/>
      <c r="Y3" s="103"/>
      <c r="Z3" s="103"/>
      <c r="AA3" s="103"/>
      <c r="AB3" s="103"/>
      <c r="AC3" s="27"/>
      <c r="AO3" s="109">
        <f>COUNT(J9:L19,J21:L23,U10:X19,U21:X23,AH10:AJ19,AH21:AJ23,J26:L33,J35:L54,T27:V30,T31:W32,T34:V37,T39:V44,T45:W46,T48:W54)</f>
        <v>0</v>
      </c>
    </row>
    <row r="4" spans="1:41" ht="15" customHeight="1" thickBot="1">
      <c r="A4" s="1"/>
      <c r="B4" s="5" t="s">
        <v>601</v>
      </c>
      <c r="I4" s="28"/>
      <c r="J4" s="28"/>
      <c r="K4" s="28"/>
      <c r="L4" s="28"/>
      <c r="M4" s="28"/>
      <c r="N4" s="28"/>
      <c r="O4" s="28"/>
      <c r="P4" s="28"/>
      <c r="Q4" s="28"/>
      <c r="R4" s="28"/>
      <c r="S4" s="28"/>
      <c r="T4" s="28"/>
      <c r="U4" s="28"/>
      <c r="V4" s="28"/>
      <c r="W4" s="28"/>
      <c r="X4" s="28"/>
      <c r="Y4" s="28"/>
      <c r="AA4" s="28"/>
      <c r="AB4" s="28"/>
      <c r="AO4" s="110" t="s">
        <v>737</v>
      </c>
    </row>
    <row r="5" spans="1:41" s="27" customFormat="1" ht="16.5" customHeight="1">
      <c r="A5" s="29"/>
      <c r="B5" s="29" t="s">
        <v>822</v>
      </c>
      <c r="C5" s="30"/>
      <c r="D5" s="30"/>
      <c r="E5" s="30"/>
      <c r="F5" s="30"/>
      <c r="G5" s="30"/>
      <c r="H5" s="30"/>
      <c r="I5" s="30"/>
      <c r="J5" s="30"/>
      <c r="K5" s="30"/>
      <c r="L5" s="30"/>
      <c r="M5" s="30"/>
      <c r="N5" s="30"/>
      <c r="O5" s="30"/>
      <c r="P5" s="30"/>
      <c r="Q5" s="30"/>
      <c r="R5" s="30"/>
      <c r="S5" s="30"/>
      <c r="T5" s="30"/>
      <c r="U5" s="30"/>
      <c r="V5" s="30"/>
      <c r="W5" s="30"/>
      <c r="X5" s="30"/>
      <c r="Y5" s="30"/>
      <c r="Z5" s="30"/>
      <c r="AA5" s="31"/>
      <c r="AB5" s="30"/>
      <c r="AC5" s="30"/>
      <c r="AD5" s="30"/>
      <c r="AE5" s="30"/>
      <c r="AF5" s="30"/>
      <c r="AG5" s="30"/>
      <c r="AH5" s="31"/>
      <c r="AI5" s="31"/>
      <c r="AJ5" s="31"/>
      <c r="AK5" s="947"/>
      <c r="AL5" s="948"/>
      <c r="AM5" s="32"/>
      <c r="AO5" s="297" t="str">
        <f>IF(AO3=0,"no","yes")</f>
        <v>no</v>
      </c>
    </row>
    <row r="6" spans="1:41" s="27" customFormat="1" ht="12" customHeight="1" thickBot="1">
      <c r="A6" s="29"/>
      <c r="B6" s="29" t="s">
        <v>602</v>
      </c>
      <c r="C6" s="30"/>
      <c r="D6" s="30"/>
      <c r="E6" s="30"/>
      <c r="F6" s="30"/>
      <c r="G6" s="30"/>
      <c r="H6" s="30"/>
      <c r="I6" s="30"/>
      <c r="J6" s="30"/>
      <c r="K6" s="30"/>
      <c r="L6" s="30"/>
      <c r="M6" s="30"/>
      <c r="N6" s="30"/>
      <c r="O6" s="30"/>
      <c r="P6" s="30"/>
      <c r="Q6" s="30"/>
      <c r="R6" s="30"/>
      <c r="S6" s="30"/>
      <c r="T6" s="30"/>
      <c r="U6" s="30"/>
      <c r="V6" s="30"/>
      <c r="W6" s="30"/>
      <c r="X6" s="30"/>
      <c r="Y6" s="30"/>
      <c r="Z6" s="30"/>
      <c r="AA6" s="32"/>
      <c r="AB6" s="30"/>
      <c r="AC6" s="30"/>
      <c r="AD6" s="30"/>
      <c r="AE6" s="30"/>
      <c r="AF6" s="30"/>
      <c r="AG6" s="30"/>
      <c r="AH6" s="32"/>
      <c r="AI6" s="32"/>
      <c r="AJ6" s="32"/>
      <c r="AK6" s="949"/>
      <c r="AL6" s="950"/>
      <c r="AM6" s="32"/>
      <c r="AO6" s="111"/>
    </row>
    <row r="7" spans="1:41" s="27" customFormat="1" ht="12" customHeight="1" thickBot="1">
      <c r="A7" s="33"/>
      <c r="B7" s="33"/>
      <c r="C7" s="33"/>
      <c r="D7" s="33"/>
      <c r="E7" s="33"/>
      <c r="F7" s="33"/>
      <c r="G7" s="33"/>
      <c r="H7" s="33"/>
      <c r="I7" s="33"/>
      <c r="J7" s="33"/>
      <c r="K7" s="33"/>
      <c r="L7" s="33"/>
      <c r="M7" s="33"/>
      <c r="N7" s="33"/>
      <c r="O7" s="33"/>
      <c r="P7" s="33"/>
      <c r="Q7" s="33"/>
      <c r="R7" s="33"/>
      <c r="S7" s="33"/>
      <c r="T7" s="33"/>
      <c r="U7" s="33"/>
      <c r="V7" s="33"/>
      <c r="W7" s="33"/>
      <c r="X7" s="33"/>
      <c r="Y7" s="33"/>
      <c r="Z7" s="33"/>
      <c r="AA7" s="34"/>
      <c r="AB7" s="33"/>
      <c r="AC7" s="33"/>
      <c r="AD7" s="33"/>
      <c r="AE7" s="33"/>
      <c r="AF7" s="33"/>
      <c r="AG7" s="33"/>
      <c r="AH7" s="34"/>
      <c r="AI7" s="34"/>
      <c r="AJ7" s="34"/>
      <c r="AK7" s="276"/>
      <c r="AL7" s="276"/>
      <c r="AO7" s="111"/>
    </row>
    <row r="8" spans="1:41" s="27" customFormat="1" ht="15" customHeight="1">
      <c r="A8" s="857" t="s">
        <v>586</v>
      </c>
      <c r="B8" s="858"/>
      <c r="C8" s="858"/>
      <c r="D8" s="858"/>
      <c r="E8" s="858"/>
      <c r="F8" s="858"/>
      <c r="G8" s="858"/>
      <c r="H8" s="858"/>
      <c r="I8" s="858"/>
      <c r="J8" s="858"/>
      <c r="K8" s="858"/>
      <c r="L8" s="858"/>
      <c r="M8" s="858"/>
      <c r="N8" s="858"/>
      <c r="O8" s="858"/>
      <c r="P8" s="858"/>
      <c r="Q8" s="858"/>
      <c r="R8" s="858"/>
      <c r="S8" s="858"/>
      <c r="T8" s="858"/>
      <c r="U8" s="858"/>
      <c r="V8" s="858"/>
      <c r="W8" s="858"/>
      <c r="X8" s="858"/>
      <c r="Y8" s="858"/>
      <c r="Z8" s="858"/>
      <c r="AA8" s="858"/>
      <c r="AB8" s="858"/>
      <c r="AC8" s="858"/>
      <c r="AD8" s="858"/>
      <c r="AE8" s="858"/>
      <c r="AF8" s="858"/>
      <c r="AG8" s="858"/>
      <c r="AH8" s="858"/>
      <c r="AI8" s="858"/>
      <c r="AJ8" s="858"/>
      <c r="AK8" s="858"/>
      <c r="AL8" s="858"/>
      <c r="AM8" s="859"/>
      <c r="AO8" s="111"/>
    </row>
    <row r="9" spans="1:41" s="27" customFormat="1" ht="15" customHeight="1">
      <c r="A9" s="920" t="s">
        <v>29</v>
      </c>
      <c r="B9" s="923" t="s">
        <v>14</v>
      </c>
      <c r="C9" s="923"/>
      <c r="D9" s="923"/>
      <c r="E9" s="923"/>
      <c r="F9" s="928" t="s">
        <v>15</v>
      </c>
      <c r="G9" s="929"/>
      <c r="H9" s="929"/>
      <c r="I9" s="930"/>
      <c r="J9" s="868"/>
      <c r="K9" s="869"/>
      <c r="L9" s="869"/>
      <c r="M9" s="40" t="s">
        <v>18</v>
      </c>
      <c r="N9" s="878" t="s">
        <v>68</v>
      </c>
      <c r="O9" s="879"/>
      <c r="P9" s="862" t="s">
        <v>27</v>
      </c>
      <c r="Q9" s="565" t="s">
        <v>28</v>
      </c>
      <c r="R9" s="566"/>
      <c r="S9" s="566"/>
      <c r="T9" s="567"/>
      <c r="U9" s="565" t="s">
        <v>24</v>
      </c>
      <c r="V9" s="566"/>
      <c r="W9" s="566"/>
      <c r="X9" s="566"/>
      <c r="Y9" s="567"/>
      <c r="Z9" s="882"/>
      <c r="AA9" s="883"/>
      <c r="AB9" s="862" t="s">
        <v>25</v>
      </c>
      <c r="AC9" s="565" t="s">
        <v>26</v>
      </c>
      <c r="AD9" s="566"/>
      <c r="AE9" s="566"/>
      <c r="AF9" s="566"/>
      <c r="AG9" s="567"/>
      <c r="AH9" s="565" t="s">
        <v>24</v>
      </c>
      <c r="AI9" s="566"/>
      <c r="AJ9" s="566"/>
      <c r="AK9" s="567"/>
      <c r="AL9" s="882"/>
      <c r="AM9" s="886"/>
      <c r="AO9" s="111"/>
    </row>
    <row r="10" spans="1:41" s="27" customFormat="1" ht="15" customHeight="1">
      <c r="A10" s="922"/>
      <c r="B10" s="923"/>
      <c r="C10" s="923"/>
      <c r="D10" s="923"/>
      <c r="E10" s="923"/>
      <c r="F10" s="928" t="s">
        <v>16</v>
      </c>
      <c r="G10" s="929"/>
      <c r="H10" s="929"/>
      <c r="I10" s="930"/>
      <c r="J10" s="868"/>
      <c r="K10" s="869"/>
      <c r="L10" s="869"/>
      <c r="M10" s="40" t="s">
        <v>18</v>
      </c>
      <c r="N10" s="878" t="s">
        <v>68</v>
      </c>
      <c r="O10" s="879"/>
      <c r="P10" s="863"/>
      <c r="Q10" s="865"/>
      <c r="R10" s="866"/>
      <c r="S10" s="866"/>
      <c r="T10" s="867"/>
      <c r="U10" s="868"/>
      <c r="V10" s="869"/>
      <c r="W10" s="869"/>
      <c r="X10" s="869"/>
      <c r="Y10" s="278" t="s">
        <v>18</v>
      </c>
      <c r="Z10" s="878" t="s">
        <v>68</v>
      </c>
      <c r="AA10" s="879"/>
      <c r="AB10" s="863"/>
      <c r="AC10" s="865"/>
      <c r="AD10" s="866"/>
      <c r="AE10" s="866"/>
      <c r="AF10" s="866"/>
      <c r="AG10" s="867"/>
      <c r="AH10" s="868"/>
      <c r="AI10" s="869"/>
      <c r="AJ10" s="869"/>
      <c r="AK10" s="36" t="s">
        <v>18</v>
      </c>
      <c r="AL10" s="878" t="s">
        <v>68</v>
      </c>
      <c r="AM10" s="884"/>
      <c r="AO10" s="111"/>
    </row>
    <row r="11" spans="1:41" s="27" customFormat="1" ht="15" customHeight="1">
      <c r="A11" s="920" t="s">
        <v>21</v>
      </c>
      <c r="B11" s="587" t="s">
        <v>19</v>
      </c>
      <c r="C11" s="588"/>
      <c r="D11" s="588"/>
      <c r="E11" s="589"/>
      <c r="F11" s="890"/>
      <c r="G11" s="891"/>
      <c r="H11" s="891"/>
      <c r="I11" s="36" t="s">
        <v>22</v>
      </c>
      <c r="J11" s="868"/>
      <c r="K11" s="869"/>
      <c r="L11" s="869"/>
      <c r="M11" s="40" t="s">
        <v>18</v>
      </c>
      <c r="N11" s="523" t="s">
        <v>68</v>
      </c>
      <c r="O11" s="525"/>
      <c r="P11" s="863"/>
      <c r="Q11" s="865"/>
      <c r="R11" s="866"/>
      <c r="S11" s="866"/>
      <c r="T11" s="867"/>
      <c r="U11" s="868"/>
      <c r="V11" s="869"/>
      <c r="W11" s="869"/>
      <c r="X11" s="869"/>
      <c r="Y11" s="278" t="s">
        <v>18</v>
      </c>
      <c r="Z11" s="878" t="s">
        <v>68</v>
      </c>
      <c r="AA11" s="879"/>
      <c r="AB11" s="863"/>
      <c r="AC11" s="865"/>
      <c r="AD11" s="866"/>
      <c r="AE11" s="866"/>
      <c r="AF11" s="866"/>
      <c r="AG11" s="867"/>
      <c r="AH11" s="868"/>
      <c r="AI11" s="869"/>
      <c r="AJ11" s="869"/>
      <c r="AK11" s="36" t="s">
        <v>18</v>
      </c>
      <c r="AL11" s="878" t="s">
        <v>68</v>
      </c>
      <c r="AM11" s="884"/>
      <c r="AO11" s="111"/>
    </row>
    <row r="12" spans="1:41" s="27" customFormat="1" ht="15" customHeight="1">
      <c r="A12" s="921"/>
      <c r="B12" s="905"/>
      <c r="C12" s="906"/>
      <c r="D12" s="906"/>
      <c r="E12" s="907"/>
      <c r="F12" s="890"/>
      <c r="G12" s="891"/>
      <c r="H12" s="891"/>
      <c r="I12" s="36" t="s">
        <v>22</v>
      </c>
      <c r="J12" s="868"/>
      <c r="K12" s="869"/>
      <c r="L12" s="869"/>
      <c r="M12" s="40" t="s">
        <v>18</v>
      </c>
      <c r="N12" s="878" t="s">
        <v>68</v>
      </c>
      <c r="O12" s="879"/>
      <c r="P12" s="863"/>
      <c r="Q12" s="865"/>
      <c r="R12" s="866"/>
      <c r="S12" s="866"/>
      <c r="T12" s="867"/>
      <c r="U12" s="868"/>
      <c r="V12" s="869"/>
      <c r="W12" s="869"/>
      <c r="X12" s="869"/>
      <c r="Y12" s="278" t="s">
        <v>18</v>
      </c>
      <c r="Z12" s="878" t="s">
        <v>68</v>
      </c>
      <c r="AA12" s="879"/>
      <c r="AB12" s="863"/>
      <c r="AC12" s="865"/>
      <c r="AD12" s="866"/>
      <c r="AE12" s="866"/>
      <c r="AF12" s="866"/>
      <c r="AG12" s="867"/>
      <c r="AH12" s="868"/>
      <c r="AI12" s="869"/>
      <c r="AJ12" s="869"/>
      <c r="AK12" s="36" t="s">
        <v>18</v>
      </c>
      <c r="AL12" s="878" t="s">
        <v>68</v>
      </c>
      <c r="AM12" s="884"/>
      <c r="AO12" s="111"/>
    </row>
    <row r="13" spans="1:41" s="27" customFormat="1" ht="15" customHeight="1">
      <c r="A13" s="921"/>
      <c r="B13" s="905"/>
      <c r="C13" s="906"/>
      <c r="D13" s="906"/>
      <c r="E13" s="907"/>
      <c r="F13" s="890"/>
      <c r="G13" s="891"/>
      <c r="H13" s="891"/>
      <c r="I13" s="36" t="s">
        <v>22</v>
      </c>
      <c r="J13" s="868"/>
      <c r="K13" s="869"/>
      <c r="L13" s="869"/>
      <c r="M13" s="40" t="s">
        <v>18</v>
      </c>
      <c r="N13" s="878" t="s">
        <v>68</v>
      </c>
      <c r="O13" s="879"/>
      <c r="P13" s="863"/>
      <c r="Q13" s="865"/>
      <c r="R13" s="866"/>
      <c r="S13" s="866"/>
      <c r="T13" s="867"/>
      <c r="U13" s="868"/>
      <c r="V13" s="869"/>
      <c r="W13" s="869"/>
      <c r="X13" s="869"/>
      <c r="Y13" s="278" t="s">
        <v>18</v>
      </c>
      <c r="Z13" s="878" t="s">
        <v>68</v>
      </c>
      <c r="AA13" s="879"/>
      <c r="AB13" s="863"/>
      <c r="AC13" s="865"/>
      <c r="AD13" s="866"/>
      <c r="AE13" s="866"/>
      <c r="AF13" s="866"/>
      <c r="AG13" s="867"/>
      <c r="AH13" s="868"/>
      <c r="AI13" s="869"/>
      <c r="AJ13" s="869"/>
      <c r="AK13" s="36" t="s">
        <v>18</v>
      </c>
      <c r="AL13" s="878" t="s">
        <v>68</v>
      </c>
      <c r="AM13" s="884"/>
      <c r="AO13" s="111"/>
    </row>
    <row r="14" spans="1:41" s="27" customFormat="1" ht="15" customHeight="1">
      <c r="A14" s="921"/>
      <c r="B14" s="905"/>
      <c r="C14" s="906"/>
      <c r="D14" s="906"/>
      <c r="E14" s="907"/>
      <c r="F14" s="890"/>
      <c r="G14" s="891"/>
      <c r="H14" s="891"/>
      <c r="I14" s="36" t="s">
        <v>22</v>
      </c>
      <c r="J14" s="868"/>
      <c r="K14" s="869"/>
      <c r="L14" s="869"/>
      <c r="M14" s="40" t="s">
        <v>18</v>
      </c>
      <c r="N14" s="878" t="s">
        <v>68</v>
      </c>
      <c r="O14" s="879"/>
      <c r="P14" s="863"/>
      <c r="Q14" s="865"/>
      <c r="R14" s="866"/>
      <c r="S14" s="866"/>
      <c r="T14" s="867"/>
      <c r="U14" s="868"/>
      <c r="V14" s="869"/>
      <c r="W14" s="869"/>
      <c r="X14" s="869"/>
      <c r="Y14" s="278" t="s">
        <v>18</v>
      </c>
      <c r="Z14" s="878" t="s">
        <v>68</v>
      </c>
      <c r="AA14" s="879"/>
      <c r="AB14" s="863"/>
      <c r="AC14" s="865"/>
      <c r="AD14" s="866"/>
      <c r="AE14" s="866"/>
      <c r="AF14" s="866"/>
      <c r="AG14" s="867"/>
      <c r="AH14" s="868"/>
      <c r="AI14" s="869"/>
      <c r="AJ14" s="869"/>
      <c r="AK14" s="36" t="s">
        <v>18</v>
      </c>
      <c r="AL14" s="878" t="s">
        <v>68</v>
      </c>
      <c r="AM14" s="884"/>
      <c r="AO14" s="111"/>
    </row>
    <row r="15" spans="1:41" s="27" customFormat="1" ht="15" customHeight="1">
      <c r="A15" s="921"/>
      <c r="B15" s="590"/>
      <c r="C15" s="591"/>
      <c r="D15" s="591"/>
      <c r="E15" s="592"/>
      <c r="F15" s="890"/>
      <c r="G15" s="891"/>
      <c r="H15" s="891"/>
      <c r="I15" s="36" t="s">
        <v>22</v>
      </c>
      <c r="J15" s="868"/>
      <c r="K15" s="869"/>
      <c r="L15" s="869"/>
      <c r="M15" s="40" t="s">
        <v>18</v>
      </c>
      <c r="N15" s="878" t="s">
        <v>68</v>
      </c>
      <c r="O15" s="879"/>
      <c r="P15" s="863"/>
      <c r="Q15" s="865"/>
      <c r="R15" s="866"/>
      <c r="S15" s="866"/>
      <c r="T15" s="867"/>
      <c r="U15" s="868"/>
      <c r="V15" s="869"/>
      <c r="W15" s="869"/>
      <c r="X15" s="869"/>
      <c r="Y15" s="278" t="s">
        <v>18</v>
      </c>
      <c r="Z15" s="878" t="s">
        <v>68</v>
      </c>
      <c r="AA15" s="879"/>
      <c r="AB15" s="863"/>
      <c r="AC15" s="865"/>
      <c r="AD15" s="866"/>
      <c r="AE15" s="866"/>
      <c r="AF15" s="866"/>
      <c r="AG15" s="867"/>
      <c r="AH15" s="868"/>
      <c r="AI15" s="869"/>
      <c r="AJ15" s="869"/>
      <c r="AK15" s="36" t="s">
        <v>18</v>
      </c>
      <c r="AL15" s="878" t="s">
        <v>68</v>
      </c>
      <c r="AM15" s="884"/>
      <c r="AO15" s="111"/>
    </row>
    <row r="16" spans="1:41" s="27" customFormat="1" ht="15" customHeight="1">
      <c r="A16" s="921"/>
      <c r="B16" s="905" t="s">
        <v>69</v>
      </c>
      <c r="C16" s="906"/>
      <c r="D16" s="906"/>
      <c r="E16" s="907"/>
      <c r="F16" s="890"/>
      <c r="G16" s="891"/>
      <c r="H16" s="891"/>
      <c r="I16" s="36" t="s">
        <v>22</v>
      </c>
      <c r="J16" s="868"/>
      <c r="K16" s="869"/>
      <c r="L16" s="869"/>
      <c r="M16" s="40" t="s">
        <v>18</v>
      </c>
      <c r="N16" s="878" t="s">
        <v>68</v>
      </c>
      <c r="O16" s="879"/>
      <c r="P16" s="863"/>
      <c r="Q16" s="865"/>
      <c r="R16" s="866"/>
      <c r="S16" s="866"/>
      <c r="T16" s="867"/>
      <c r="U16" s="868"/>
      <c r="V16" s="869"/>
      <c r="W16" s="869"/>
      <c r="X16" s="869"/>
      <c r="Y16" s="278" t="s">
        <v>18</v>
      </c>
      <c r="Z16" s="878" t="s">
        <v>68</v>
      </c>
      <c r="AA16" s="879"/>
      <c r="AB16" s="863"/>
      <c r="AC16" s="865"/>
      <c r="AD16" s="866"/>
      <c r="AE16" s="866"/>
      <c r="AF16" s="866"/>
      <c r="AG16" s="867"/>
      <c r="AH16" s="868"/>
      <c r="AI16" s="869"/>
      <c r="AJ16" s="869"/>
      <c r="AK16" s="36" t="s">
        <v>18</v>
      </c>
      <c r="AL16" s="878" t="s">
        <v>68</v>
      </c>
      <c r="AM16" s="884"/>
      <c r="AO16" s="111"/>
    </row>
    <row r="17" spans="1:41" s="27" customFormat="1" ht="15" customHeight="1">
      <c r="A17" s="921"/>
      <c r="B17" s="590"/>
      <c r="C17" s="591"/>
      <c r="D17" s="591"/>
      <c r="E17" s="592"/>
      <c r="F17" s="890"/>
      <c r="G17" s="891"/>
      <c r="H17" s="891"/>
      <c r="I17" s="36" t="s">
        <v>22</v>
      </c>
      <c r="J17" s="868"/>
      <c r="K17" s="869"/>
      <c r="L17" s="869"/>
      <c r="M17" s="40" t="s">
        <v>18</v>
      </c>
      <c r="N17" s="878" t="s">
        <v>68</v>
      </c>
      <c r="O17" s="879"/>
      <c r="P17" s="863"/>
      <c r="Q17" s="865"/>
      <c r="R17" s="866"/>
      <c r="S17" s="866"/>
      <c r="T17" s="867"/>
      <c r="U17" s="868"/>
      <c r="V17" s="869"/>
      <c r="W17" s="869"/>
      <c r="X17" s="869"/>
      <c r="Y17" s="278" t="s">
        <v>18</v>
      </c>
      <c r="Z17" s="878" t="s">
        <v>68</v>
      </c>
      <c r="AA17" s="879"/>
      <c r="AB17" s="863"/>
      <c r="AC17" s="865"/>
      <c r="AD17" s="866"/>
      <c r="AE17" s="866"/>
      <c r="AF17" s="866"/>
      <c r="AG17" s="867"/>
      <c r="AH17" s="868"/>
      <c r="AI17" s="869"/>
      <c r="AJ17" s="869"/>
      <c r="AK17" s="36" t="s">
        <v>18</v>
      </c>
      <c r="AL17" s="878" t="s">
        <v>68</v>
      </c>
      <c r="AM17" s="884"/>
      <c r="AO17" s="111"/>
    </row>
    <row r="18" spans="1:41" s="27" customFormat="1" ht="15" customHeight="1">
      <c r="A18" s="921"/>
      <c r="B18" s="587" t="s">
        <v>70</v>
      </c>
      <c r="C18" s="588"/>
      <c r="D18" s="588"/>
      <c r="E18" s="589"/>
      <c r="F18" s="565" t="s">
        <v>23</v>
      </c>
      <c r="G18" s="566"/>
      <c r="H18" s="566"/>
      <c r="I18" s="567"/>
      <c r="J18" s="868"/>
      <c r="K18" s="869"/>
      <c r="L18" s="869"/>
      <c r="M18" s="40" t="s">
        <v>18</v>
      </c>
      <c r="N18" s="878" t="s">
        <v>68</v>
      </c>
      <c r="O18" s="879"/>
      <c r="P18" s="863"/>
      <c r="Q18" s="865"/>
      <c r="R18" s="866"/>
      <c r="S18" s="866"/>
      <c r="T18" s="867"/>
      <c r="U18" s="868"/>
      <c r="V18" s="869"/>
      <c r="W18" s="869"/>
      <c r="X18" s="869"/>
      <c r="Y18" s="278" t="s">
        <v>18</v>
      </c>
      <c r="Z18" s="878" t="s">
        <v>68</v>
      </c>
      <c r="AA18" s="879"/>
      <c r="AB18" s="863"/>
      <c r="AC18" s="865"/>
      <c r="AD18" s="866"/>
      <c r="AE18" s="866"/>
      <c r="AF18" s="866"/>
      <c r="AG18" s="867"/>
      <c r="AH18" s="868"/>
      <c r="AI18" s="869"/>
      <c r="AJ18" s="869"/>
      <c r="AK18" s="36" t="s">
        <v>18</v>
      </c>
      <c r="AL18" s="878" t="s">
        <v>68</v>
      </c>
      <c r="AM18" s="884"/>
      <c r="AO18" s="111"/>
    </row>
    <row r="19" spans="1:41" s="27" customFormat="1" ht="15" customHeight="1">
      <c r="A19" s="922"/>
      <c r="B19" s="590"/>
      <c r="C19" s="591"/>
      <c r="D19" s="591"/>
      <c r="E19" s="592"/>
      <c r="F19" s="565" t="s">
        <v>74</v>
      </c>
      <c r="G19" s="566"/>
      <c r="H19" s="566"/>
      <c r="I19" s="567"/>
      <c r="J19" s="868"/>
      <c r="K19" s="869"/>
      <c r="L19" s="869"/>
      <c r="M19" s="40" t="s">
        <v>18</v>
      </c>
      <c r="N19" s="878" t="s">
        <v>68</v>
      </c>
      <c r="O19" s="879"/>
      <c r="P19" s="864"/>
      <c r="Q19" s="865"/>
      <c r="R19" s="866"/>
      <c r="S19" s="866"/>
      <c r="T19" s="867"/>
      <c r="U19" s="868"/>
      <c r="V19" s="869"/>
      <c r="W19" s="869"/>
      <c r="X19" s="869"/>
      <c r="Y19" s="278" t="s">
        <v>18</v>
      </c>
      <c r="Z19" s="878" t="s">
        <v>68</v>
      </c>
      <c r="AA19" s="879"/>
      <c r="AB19" s="864"/>
      <c r="AC19" s="865"/>
      <c r="AD19" s="866"/>
      <c r="AE19" s="866"/>
      <c r="AF19" s="866"/>
      <c r="AG19" s="867"/>
      <c r="AH19" s="868"/>
      <c r="AI19" s="869"/>
      <c r="AJ19" s="869"/>
      <c r="AK19" s="36" t="s">
        <v>18</v>
      </c>
      <c r="AL19" s="878" t="s">
        <v>68</v>
      </c>
      <c r="AM19" s="884"/>
      <c r="AO19" s="111"/>
    </row>
    <row r="20" spans="1:41" s="27" customFormat="1" ht="15" customHeight="1">
      <c r="A20" s="920" t="s">
        <v>27</v>
      </c>
      <c r="B20" s="587" t="s">
        <v>71</v>
      </c>
      <c r="C20" s="588"/>
      <c r="D20" s="588"/>
      <c r="E20" s="589"/>
      <c r="F20" s="565" t="s">
        <v>75</v>
      </c>
      <c r="G20" s="566"/>
      <c r="H20" s="566"/>
      <c r="I20" s="567"/>
      <c r="J20" s="565" t="s">
        <v>24</v>
      </c>
      <c r="K20" s="566"/>
      <c r="L20" s="566"/>
      <c r="M20" s="567"/>
      <c r="N20" s="882"/>
      <c r="O20" s="883"/>
      <c r="P20" s="860" t="s">
        <v>72</v>
      </c>
      <c r="Q20" s="873" t="s">
        <v>28</v>
      </c>
      <c r="R20" s="874"/>
      <c r="S20" s="874"/>
      <c r="T20" s="875"/>
      <c r="U20" s="590" t="s">
        <v>24</v>
      </c>
      <c r="V20" s="591"/>
      <c r="W20" s="591"/>
      <c r="X20" s="591"/>
      <c r="Y20" s="591"/>
      <c r="Z20" s="882"/>
      <c r="AA20" s="883"/>
      <c r="AB20" s="860" t="s">
        <v>72</v>
      </c>
      <c r="AC20" s="873" t="s">
        <v>26</v>
      </c>
      <c r="AD20" s="874"/>
      <c r="AE20" s="874"/>
      <c r="AF20" s="874"/>
      <c r="AG20" s="875"/>
      <c r="AH20" s="590" t="s">
        <v>30</v>
      </c>
      <c r="AI20" s="591"/>
      <c r="AJ20" s="591"/>
      <c r="AK20" s="591"/>
      <c r="AL20" s="882"/>
      <c r="AM20" s="886"/>
      <c r="AO20" s="111"/>
    </row>
    <row r="21" spans="1:41" s="27" customFormat="1" ht="15" customHeight="1">
      <c r="A21" s="921"/>
      <c r="B21" s="905"/>
      <c r="C21" s="906"/>
      <c r="D21" s="906"/>
      <c r="E21" s="907"/>
      <c r="F21" s="890"/>
      <c r="G21" s="891"/>
      <c r="H21" s="891"/>
      <c r="I21" s="891"/>
      <c r="J21" s="868"/>
      <c r="K21" s="869"/>
      <c r="L21" s="869"/>
      <c r="M21" s="278" t="s">
        <v>18</v>
      </c>
      <c r="N21" s="878" t="s">
        <v>68</v>
      </c>
      <c r="O21" s="879"/>
      <c r="P21" s="860"/>
      <c r="Q21" s="865"/>
      <c r="R21" s="866"/>
      <c r="S21" s="866"/>
      <c r="T21" s="867"/>
      <c r="U21" s="868"/>
      <c r="V21" s="869"/>
      <c r="W21" s="869"/>
      <c r="X21" s="869"/>
      <c r="Y21" s="277" t="s">
        <v>18</v>
      </c>
      <c r="Z21" s="878" t="s">
        <v>68</v>
      </c>
      <c r="AA21" s="879"/>
      <c r="AB21" s="860"/>
      <c r="AC21" s="865"/>
      <c r="AD21" s="866"/>
      <c r="AE21" s="866"/>
      <c r="AF21" s="866"/>
      <c r="AG21" s="867"/>
      <c r="AH21" s="868"/>
      <c r="AI21" s="869"/>
      <c r="AJ21" s="869"/>
      <c r="AK21" s="40" t="s">
        <v>18</v>
      </c>
      <c r="AL21" s="878" t="s">
        <v>68</v>
      </c>
      <c r="AM21" s="884"/>
      <c r="AO21" s="111"/>
    </row>
    <row r="22" spans="1:41" s="27" customFormat="1" ht="15" customHeight="1">
      <c r="A22" s="921"/>
      <c r="B22" s="905"/>
      <c r="C22" s="906"/>
      <c r="D22" s="906"/>
      <c r="E22" s="907"/>
      <c r="F22" s="890"/>
      <c r="G22" s="891"/>
      <c r="H22" s="891"/>
      <c r="I22" s="891"/>
      <c r="J22" s="868"/>
      <c r="K22" s="869"/>
      <c r="L22" s="869"/>
      <c r="M22" s="278" t="s">
        <v>18</v>
      </c>
      <c r="N22" s="878" t="s">
        <v>68</v>
      </c>
      <c r="O22" s="879"/>
      <c r="P22" s="860"/>
      <c r="Q22" s="865"/>
      <c r="R22" s="866"/>
      <c r="S22" s="866"/>
      <c r="T22" s="867"/>
      <c r="U22" s="868"/>
      <c r="V22" s="869"/>
      <c r="W22" s="869"/>
      <c r="X22" s="869"/>
      <c r="Y22" s="282" t="s">
        <v>18</v>
      </c>
      <c r="Z22" s="878" t="s">
        <v>68</v>
      </c>
      <c r="AA22" s="879"/>
      <c r="AB22" s="860"/>
      <c r="AC22" s="865"/>
      <c r="AD22" s="866"/>
      <c r="AE22" s="866"/>
      <c r="AF22" s="866"/>
      <c r="AG22" s="867"/>
      <c r="AH22" s="868"/>
      <c r="AI22" s="869"/>
      <c r="AJ22" s="869"/>
      <c r="AK22" s="40" t="s">
        <v>18</v>
      </c>
      <c r="AL22" s="878" t="s">
        <v>68</v>
      </c>
      <c r="AM22" s="884"/>
      <c r="AO22" s="111"/>
    </row>
    <row r="23" spans="1:41" s="27" customFormat="1" ht="15" customHeight="1" thickBot="1">
      <c r="A23" s="931"/>
      <c r="B23" s="932"/>
      <c r="C23" s="933"/>
      <c r="D23" s="933"/>
      <c r="E23" s="934"/>
      <c r="F23" s="916"/>
      <c r="G23" s="916"/>
      <c r="H23" s="916"/>
      <c r="I23" s="916"/>
      <c r="J23" s="909"/>
      <c r="K23" s="910"/>
      <c r="L23" s="910"/>
      <c r="M23" s="284" t="s">
        <v>18</v>
      </c>
      <c r="N23" s="880" t="s">
        <v>68</v>
      </c>
      <c r="O23" s="881"/>
      <c r="P23" s="861"/>
      <c r="Q23" s="870"/>
      <c r="R23" s="871"/>
      <c r="S23" s="871"/>
      <c r="T23" s="872"/>
      <c r="U23" s="876"/>
      <c r="V23" s="877"/>
      <c r="W23" s="877"/>
      <c r="X23" s="877"/>
      <c r="Y23" s="283" t="s">
        <v>18</v>
      </c>
      <c r="Z23" s="880" t="s">
        <v>68</v>
      </c>
      <c r="AA23" s="881"/>
      <c r="AB23" s="861"/>
      <c r="AC23" s="870"/>
      <c r="AD23" s="871"/>
      <c r="AE23" s="871"/>
      <c r="AF23" s="871"/>
      <c r="AG23" s="872"/>
      <c r="AH23" s="876"/>
      <c r="AI23" s="877"/>
      <c r="AJ23" s="877"/>
      <c r="AK23" s="291" t="s">
        <v>18</v>
      </c>
      <c r="AL23" s="880" t="s">
        <v>68</v>
      </c>
      <c r="AM23" s="885"/>
      <c r="AO23" s="111"/>
    </row>
    <row r="24" spans="1:41" s="27" customFormat="1" ht="6" customHeight="1" thickBot="1">
      <c r="A24" s="290"/>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37"/>
      <c r="AO24" s="111"/>
    </row>
    <row r="25" spans="1:41" s="27" customFormat="1" ht="15" customHeight="1">
      <c r="A25" s="857" t="s">
        <v>286</v>
      </c>
      <c r="B25" s="858"/>
      <c r="C25" s="858"/>
      <c r="D25" s="858"/>
      <c r="E25" s="858"/>
      <c r="F25" s="858"/>
      <c r="G25" s="858"/>
      <c r="H25" s="858"/>
      <c r="I25" s="858"/>
      <c r="J25" s="858"/>
      <c r="K25" s="858"/>
      <c r="L25" s="858"/>
      <c r="M25" s="858"/>
      <c r="N25" s="858"/>
      <c r="O25" s="858"/>
      <c r="P25" s="858"/>
      <c r="Q25" s="858"/>
      <c r="R25" s="858"/>
      <c r="S25" s="858"/>
      <c r="T25" s="858"/>
      <c r="U25" s="858"/>
      <c r="V25" s="858"/>
      <c r="W25" s="859"/>
      <c r="X25" s="29"/>
      <c r="Y25" s="29"/>
      <c r="Z25" s="38" t="s">
        <v>593</v>
      </c>
      <c r="AA25" s="38"/>
      <c r="AB25" s="38"/>
      <c r="AC25" s="38"/>
      <c r="AD25" s="38"/>
      <c r="AE25" s="38"/>
      <c r="AF25" s="38"/>
      <c r="AG25" s="38"/>
      <c r="AO25" s="111"/>
    </row>
    <row r="26" spans="1:41" s="27" customFormat="1" ht="15" customHeight="1">
      <c r="A26" s="920" t="s">
        <v>17</v>
      </c>
      <c r="B26" s="923" t="s">
        <v>14</v>
      </c>
      <c r="C26" s="923"/>
      <c r="D26" s="923"/>
      <c r="E26" s="923"/>
      <c r="F26" s="928" t="s">
        <v>15</v>
      </c>
      <c r="G26" s="929"/>
      <c r="H26" s="929"/>
      <c r="I26" s="930"/>
      <c r="J26" s="868"/>
      <c r="K26" s="869"/>
      <c r="L26" s="869"/>
      <c r="M26" s="36" t="s">
        <v>18</v>
      </c>
      <c r="N26" s="862" t="s">
        <v>465</v>
      </c>
      <c r="O26" s="914" t="s">
        <v>76</v>
      </c>
      <c r="P26" s="912" t="s">
        <v>37</v>
      </c>
      <c r="Q26" s="912"/>
      <c r="R26" s="912"/>
      <c r="S26" s="912"/>
      <c r="T26" s="912" t="s">
        <v>34</v>
      </c>
      <c r="U26" s="912"/>
      <c r="V26" s="912"/>
      <c r="W26" s="913"/>
      <c r="X26" s="39"/>
      <c r="Y26" s="39"/>
      <c r="Z26" s="38" t="s">
        <v>587</v>
      </c>
      <c r="AA26" s="38"/>
      <c r="AB26" s="38"/>
      <c r="AC26" s="38"/>
      <c r="AD26" s="38"/>
      <c r="AE26" s="38"/>
      <c r="AF26" s="38"/>
      <c r="AG26" s="38"/>
      <c r="AO26" s="111"/>
    </row>
    <row r="27" spans="1:41" s="27" customFormat="1" ht="15" customHeight="1">
      <c r="A27" s="922"/>
      <c r="B27" s="923"/>
      <c r="C27" s="923"/>
      <c r="D27" s="923"/>
      <c r="E27" s="923"/>
      <c r="F27" s="928" t="s">
        <v>16</v>
      </c>
      <c r="G27" s="929"/>
      <c r="H27" s="929"/>
      <c r="I27" s="930"/>
      <c r="J27" s="868"/>
      <c r="K27" s="869"/>
      <c r="L27" s="869"/>
      <c r="M27" s="36" t="s">
        <v>18</v>
      </c>
      <c r="N27" s="863"/>
      <c r="O27" s="914"/>
      <c r="P27" s="915" t="s">
        <v>36</v>
      </c>
      <c r="Q27" s="915"/>
      <c r="R27" s="915"/>
      <c r="S27" s="915"/>
      <c r="T27" s="908"/>
      <c r="U27" s="908"/>
      <c r="V27" s="868"/>
      <c r="W27" s="35" t="s">
        <v>18</v>
      </c>
      <c r="X27" s="39"/>
      <c r="Y27" s="39"/>
      <c r="Z27" s="38" t="s">
        <v>588</v>
      </c>
      <c r="AA27" s="38"/>
      <c r="AB27" s="38"/>
      <c r="AC27" s="38"/>
      <c r="AD27" s="38"/>
      <c r="AE27" s="38"/>
      <c r="AF27" s="38"/>
      <c r="AG27" s="37"/>
      <c r="AO27" s="111"/>
    </row>
    <row r="28" spans="1:41" s="27" customFormat="1" ht="15" customHeight="1">
      <c r="A28" s="920" t="s">
        <v>21</v>
      </c>
      <c r="B28" s="587" t="s">
        <v>19</v>
      </c>
      <c r="C28" s="588"/>
      <c r="D28" s="588"/>
      <c r="E28" s="589"/>
      <c r="F28" s="890"/>
      <c r="G28" s="891"/>
      <c r="H28" s="891"/>
      <c r="I28" s="36" t="s">
        <v>22</v>
      </c>
      <c r="J28" s="868"/>
      <c r="K28" s="869"/>
      <c r="L28" s="869"/>
      <c r="M28" s="36" t="s">
        <v>18</v>
      </c>
      <c r="N28" s="863"/>
      <c r="O28" s="914"/>
      <c r="P28" s="915" t="s">
        <v>77</v>
      </c>
      <c r="Q28" s="915"/>
      <c r="R28" s="915"/>
      <c r="S28" s="915"/>
      <c r="T28" s="908"/>
      <c r="U28" s="908"/>
      <c r="V28" s="868"/>
      <c r="W28" s="35" t="s">
        <v>18</v>
      </c>
      <c r="X28" s="39"/>
      <c r="Y28" s="39"/>
      <c r="Z28" s="38" t="s">
        <v>589</v>
      </c>
      <c r="AA28" s="38"/>
      <c r="AB28" s="38"/>
      <c r="AC28" s="38"/>
      <c r="AD28" s="38"/>
      <c r="AE28" s="38"/>
      <c r="AF28" s="38"/>
      <c r="AG28" s="37"/>
      <c r="AO28" s="111"/>
    </row>
    <row r="29" spans="1:41" s="27" customFormat="1" ht="15" customHeight="1">
      <c r="A29" s="921"/>
      <c r="B29" s="590"/>
      <c r="C29" s="591"/>
      <c r="D29" s="591"/>
      <c r="E29" s="592"/>
      <c r="F29" s="890"/>
      <c r="G29" s="891"/>
      <c r="H29" s="891"/>
      <c r="I29" s="36" t="s">
        <v>22</v>
      </c>
      <c r="J29" s="868"/>
      <c r="K29" s="869"/>
      <c r="L29" s="869"/>
      <c r="M29" s="36" t="s">
        <v>18</v>
      </c>
      <c r="N29" s="863"/>
      <c r="O29" s="914"/>
      <c r="P29" s="899" t="s">
        <v>78</v>
      </c>
      <c r="Q29" s="900"/>
      <c r="R29" s="900"/>
      <c r="S29" s="901"/>
      <c r="T29" s="908"/>
      <c r="U29" s="908"/>
      <c r="V29" s="868"/>
      <c r="W29" s="35" t="s">
        <v>18</v>
      </c>
      <c r="X29" s="39"/>
      <c r="Y29" s="39"/>
      <c r="Z29" s="38"/>
      <c r="AA29" s="38"/>
      <c r="AB29" s="38"/>
      <c r="AC29" s="38"/>
      <c r="AD29" s="38"/>
      <c r="AE29" s="38"/>
      <c r="AF29" s="38"/>
      <c r="AG29" s="37"/>
      <c r="AO29" s="111"/>
    </row>
    <row r="30" spans="1:41" s="27" customFormat="1" ht="15" customHeight="1">
      <c r="A30" s="921"/>
      <c r="B30" s="905" t="s">
        <v>20</v>
      </c>
      <c r="C30" s="906"/>
      <c r="D30" s="906"/>
      <c r="E30" s="907"/>
      <c r="F30" s="890"/>
      <c r="G30" s="891"/>
      <c r="H30" s="891"/>
      <c r="I30" s="36" t="s">
        <v>22</v>
      </c>
      <c r="J30" s="868"/>
      <c r="K30" s="869"/>
      <c r="L30" s="869"/>
      <c r="M30" s="36" t="s">
        <v>18</v>
      </c>
      <c r="N30" s="863"/>
      <c r="O30" s="914"/>
      <c r="P30" s="899" t="s">
        <v>79</v>
      </c>
      <c r="Q30" s="900"/>
      <c r="R30" s="900"/>
      <c r="S30" s="901"/>
      <c r="T30" s="908"/>
      <c r="U30" s="908"/>
      <c r="V30" s="868"/>
      <c r="W30" s="35" t="s">
        <v>18</v>
      </c>
      <c r="X30" s="39"/>
      <c r="Y30" s="39"/>
      <c r="Z30" s="38"/>
      <c r="AA30" s="38"/>
      <c r="AB30" s="38"/>
      <c r="AC30" s="38"/>
      <c r="AD30" s="38"/>
      <c r="AE30" s="38"/>
      <c r="AF30" s="38"/>
      <c r="AG30" s="37"/>
      <c r="AO30" s="111"/>
    </row>
    <row r="31" spans="1:41" s="27" customFormat="1" ht="15" customHeight="1">
      <c r="A31" s="921"/>
      <c r="B31" s="590"/>
      <c r="C31" s="591"/>
      <c r="D31" s="591"/>
      <c r="E31" s="592"/>
      <c r="F31" s="890"/>
      <c r="G31" s="891"/>
      <c r="H31" s="891"/>
      <c r="I31" s="36" t="s">
        <v>22</v>
      </c>
      <c r="J31" s="868"/>
      <c r="K31" s="869"/>
      <c r="L31" s="869"/>
      <c r="M31" s="36" t="s">
        <v>18</v>
      </c>
      <c r="N31" s="863"/>
      <c r="O31" s="914"/>
      <c r="P31" s="889"/>
      <c r="Q31" s="889"/>
      <c r="R31" s="889"/>
      <c r="S31" s="889"/>
      <c r="T31" s="903"/>
      <c r="U31" s="903"/>
      <c r="V31" s="855"/>
      <c r="W31" s="326"/>
      <c r="X31" s="39"/>
      <c r="Y31" s="39"/>
      <c r="Z31" s="38"/>
      <c r="AA31" s="38"/>
      <c r="AB31" s="38"/>
      <c r="AC31" s="38"/>
      <c r="AD31" s="38"/>
      <c r="AE31" s="38"/>
      <c r="AF31" s="38"/>
      <c r="AG31" s="41"/>
      <c r="AO31" s="111"/>
    </row>
    <row r="32" spans="1:41" s="27" customFormat="1" ht="15" customHeight="1">
      <c r="A32" s="921"/>
      <c r="B32" s="935"/>
      <c r="C32" s="936"/>
      <c r="D32" s="936"/>
      <c r="E32" s="937"/>
      <c r="F32" s="890"/>
      <c r="G32" s="891"/>
      <c r="H32" s="891"/>
      <c r="I32" s="36" t="s">
        <v>22</v>
      </c>
      <c r="J32" s="868"/>
      <c r="K32" s="869"/>
      <c r="L32" s="869"/>
      <c r="M32" s="36" t="s">
        <v>18</v>
      </c>
      <c r="N32" s="863"/>
      <c r="O32" s="914"/>
      <c r="P32" s="889"/>
      <c r="Q32" s="889"/>
      <c r="R32" s="889"/>
      <c r="S32" s="889"/>
      <c r="T32" s="903"/>
      <c r="U32" s="903"/>
      <c r="V32" s="855"/>
      <c r="W32" s="326"/>
      <c r="X32" s="39"/>
      <c r="Y32" s="39"/>
      <c r="Z32" s="38"/>
      <c r="AA32" s="38"/>
      <c r="AB32" s="38"/>
      <c r="AC32" s="38"/>
      <c r="AD32" s="38"/>
      <c r="AE32" s="38"/>
      <c r="AF32" s="38"/>
      <c r="AG32" s="41"/>
      <c r="AO32" s="111"/>
    </row>
    <row r="33" spans="1:41" s="27" customFormat="1" ht="15" customHeight="1">
      <c r="A33" s="922"/>
      <c r="B33" s="938"/>
      <c r="C33" s="939"/>
      <c r="D33" s="939"/>
      <c r="E33" s="940"/>
      <c r="F33" s="890"/>
      <c r="G33" s="891"/>
      <c r="H33" s="891"/>
      <c r="I33" s="36" t="s">
        <v>22</v>
      </c>
      <c r="J33" s="868"/>
      <c r="K33" s="869"/>
      <c r="L33" s="869"/>
      <c r="M33" s="36" t="s">
        <v>18</v>
      </c>
      <c r="N33" s="863"/>
      <c r="O33" s="925" t="s">
        <v>35</v>
      </c>
      <c r="P33" s="912" t="s">
        <v>37</v>
      </c>
      <c r="Q33" s="912"/>
      <c r="R33" s="912"/>
      <c r="S33" s="912"/>
      <c r="T33" s="906" t="s">
        <v>34</v>
      </c>
      <c r="U33" s="906"/>
      <c r="V33" s="906"/>
      <c r="W33" s="924"/>
      <c r="X33" s="39"/>
      <c r="Y33" s="42"/>
      <c r="Z33" s="38"/>
      <c r="AA33" s="38"/>
      <c r="AB33" s="38"/>
      <c r="AC33" s="38"/>
      <c r="AD33" s="38"/>
      <c r="AE33" s="38"/>
      <c r="AF33" s="38"/>
      <c r="AG33" s="38"/>
      <c r="AO33" s="111"/>
    </row>
    <row r="34" spans="1:41" s="27" customFormat="1" ht="15" customHeight="1">
      <c r="A34" s="920" t="s">
        <v>44</v>
      </c>
      <c r="B34" s="587" t="s">
        <v>31</v>
      </c>
      <c r="C34" s="588"/>
      <c r="D34" s="588"/>
      <c r="E34" s="589"/>
      <c r="F34" s="565" t="s">
        <v>32</v>
      </c>
      <c r="G34" s="566"/>
      <c r="H34" s="566"/>
      <c r="I34" s="567"/>
      <c r="J34" s="565" t="s">
        <v>24</v>
      </c>
      <c r="K34" s="566"/>
      <c r="L34" s="566"/>
      <c r="M34" s="567"/>
      <c r="N34" s="863"/>
      <c r="O34" s="926"/>
      <c r="P34" s="889"/>
      <c r="Q34" s="889"/>
      <c r="R34" s="889"/>
      <c r="S34" s="889"/>
      <c r="T34" s="855"/>
      <c r="U34" s="856"/>
      <c r="V34" s="856"/>
      <c r="W34" s="35" t="s">
        <v>18</v>
      </c>
      <c r="X34" s="39"/>
      <c r="Y34" s="42"/>
      <c r="Z34" s="38"/>
      <c r="AA34" s="38"/>
      <c r="AB34" s="38"/>
      <c r="AC34" s="38"/>
      <c r="AD34" s="38"/>
      <c r="AE34" s="38"/>
      <c r="AF34" s="38"/>
      <c r="AG34" s="41"/>
      <c r="AO34" s="111"/>
    </row>
    <row r="35" spans="1:41" s="27" customFormat="1" ht="15" customHeight="1">
      <c r="A35" s="921"/>
      <c r="B35" s="905"/>
      <c r="C35" s="906"/>
      <c r="D35" s="906"/>
      <c r="E35" s="907"/>
      <c r="F35" s="889"/>
      <c r="G35" s="889"/>
      <c r="H35" s="889"/>
      <c r="I35" s="889"/>
      <c r="J35" s="868"/>
      <c r="K35" s="869"/>
      <c r="L35" s="869"/>
      <c r="M35" s="36" t="s">
        <v>18</v>
      </c>
      <c r="N35" s="863"/>
      <c r="O35" s="926"/>
      <c r="P35" s="889"/>
      <c r="Q35" s="889"/>
      <c r="R35" s="889"/>
      <c r="S35" s="889"/>
      <c r="T35" s="855"/>
      <c r="U35" s="856"/>
      <c r="V35" s="856"/>
      <c r="W35" s="35" t="s">
        <v>18</v>
      </c>
      <c r="X35" s="39"/>
      <c r="Y35" s="42"/>
      <c r="Z35" s="38"/>
      <c r="AA35" s="38"/>
      <c r="AB35" s="38"/>
      <c r="AC35" s="38"/>
      <c r="AD35" s="38"/>
      <c r="AE35" s="38"/>
      <c r="AF35" s="38"/>
      <c r="AG35" s="41"/>
      <c r="AO35" s="111"/>
    </row>
    <row r="36" spans="1:41" s="27" customFormat="1" ht="15" customHeight="1">
      <c r="A36" s="921"/>
      <c r="B36" s="905"/>
      <c r="C36" s="906"/>
      <c r="D36" s="906"/>
      <c r="E36" s="907"/>
      <c r="F36" s="889"/>
      <c r="G36" s="889"/>
      <c r="H36" s="889"/>
      <c r="I36" s="889"/>
      <c r="J36" s="868"/>
      <c r="K36" s="869"/>
      <c r="L36" s="869"/>
      <c r="M36" s="36" t="s">
        <v>18</v>
      </c>
      <c r="N36" s="863"/>
      <c r="O36" s="926"/>
      <c r="P36" s="889"/>
      <c r="Q36" s="889"/>
      <c r="R36" s="889"/>
      <c r="S36" s="889"/>
      <c r="T36" s="855"/>
      <c r="U36" s="856"/>
      <c r="V36" s="856"/>
      <c r="W36" s="35" t="s">
        <v>18</v>
      </c>
      <c r="X36" s="39"/>
      <c r="Y36" s="42"/>
      <c r="Z36" s="38"/>
      <c r="AA36" s="38"/>
      <c r="AB36" s="38"/>
      <c r="AC36" s="38"/>
      <c r="AD36" s="38"/>
      <c r="AE36" s="38"/>
      <c r="AF36" s="38"/>
      <c r="AG36" s="41"/>
      <c r="AO36" s="111"/>
    </row>
    <row r="37" spans="1:41" s="27" customFormat="1" ht="15" customHeight="1">
      <c r="A37" s="921"/>
      <c r="B37" s="905"/>
      <c r="C37" s="906"/>
      <c r="D37" s="906"/>
      <c r="E37" s="907"/>
      <c r="F37" s="889"/>
      <c r="G37" s="889"/>
      <c r="H37" s="889"/>
      <c r="I37" s="889"/>
      <c r="J37" s="868"/>
      <c r="K37" s="869"/>
      <c r="L37" s="869"/>
      <c r="M37" s="36" t="s">
        <v>18</v>
      </c>
      <c r="N37" s="863"/>
      <c r="O37" s="927"/>
      <c r="P37" s="889"/>
      <c r="Q37" s="889"/>
      <c r="R37" s="889"/>
      <c r="S37" s="889"/>
      <c r="T37" s="855"/>
      <c r="U37" s="856"/>
      <c r="V37" s="856"/>
      <c r="W37" s="35" t="s">
        <v>18</v>
      </c>
      <c r="X37" s="39"/>
      <c r="Y37" s="42"/>
      <c r="Z37" s="38"/>
      <c r="AA37" s="38"/>
      <c r="AB37" s="38"/>
      <c r="AC37" s="38"/>
      <c r="AD37" s="38"/>
      <c r="AE37" s="38"/>
      <c r="AF37" s="38"/>
      <c r="AG37" s="41"/>
      <c r="AO37" s="111"/>
    </row>
    <row r="38" spans="1:41" s="27" customFormat="1" ht="15" customHeight="1">
      <c r="A38" s="921"/>
      <c r="B38" s="590"/>
      <c r="C38" s="591"/>
      <c r="D38" s="591"/>
      <c r="E38" s="592"/>
      <c r="F38" s="889"/>
      <c r="G38" s="889"/>
      <c r="H38" s="889"/>
      <c r="I38" s="889"/>
      <c r="J38" s="868"/>
      <c r="K38" s="869"/>
      <c r="L38" s="869"/>
      <c r="M38" s="36" t="s">
        <v>18</v>
      </c>
      <c r="N38" s="863"/>
      <c r="O38" s="565" t="s">
        <v>33</v>
      </c>
      <c r="P38" s="566"/>
      <c r="Q38" s="566"/>
      <c r="R38" s="566"/>
      <c r="S38" s="567"/>
      <c r="T38" s="565" t="s">
        <v>34</v>
      </c>
      <c r="U38" s="566"/>
      <c r="V38" s="566"/>
      <c r="W38" s="904"/>
      <c r="X38" s="39"/>
      <c r="Y38" s="38"/>
      <c r="Z38" s="38"/>
      <c r="AA38" s="38"/>
      <c r="AB38" s="38"/>
      <c r="AC38" s="38"/>
      <c r="AD38" s="38"/>
      <c r="AE38" s="38"/>
      <c r="AF38" s="38"/>
      <c r="AG38" s="38"/>
      <c r="AO38" s="111"/>
    </row>
    <row r="39" spans="1:41" s="27" customFormat="1" ht="15" customHeight="1">
      <c r="A39" s="921"/>
      <c r="B39" s="587" t="s">
        <v>80</v>
      </c>
      <c r="C39" s="588"/>
      <c r="D39" s="588"/>
      <c r="E39" s="589"/>
      <c r="F39" s="889"/>
      <c r="G39" s="889"/>
      <c r="H39" s="889"/>
      <c r="I39" s="889"/>
      <c r="J39" s="868"/>
      <c r="K39" s="869"/>
      <c r="L39" s="869"/>
      <c r="M39" s="36" t="s">
        <v>18</v>
      </c>
      <c r="N39" s="863"/>
      <c r="O39" s="279" t="s">
        <v>81</v>
      </c>
      <c r="P39" s="280"/>
      <c r="Q39" s="280"/>
      <c r="R39" s="280"/>
      <c r="S39" s="281"/>
      <c r="T39" s="868"/>
      <c r="U39" s="869"/>
      <c r="V39" s="869"/>
      <c r="W39" s="292" t="s">
        <v>18</v>
      </c>
      <c r="X39" s="39"/>
      <c r="Y39" s="41"/>
      <c r="Z39" s="41"/>
      <c r="AA39" s="41"/>
      <c r="AB39" s="41"/>
      <c r="AC39" s="41"/>
      <c r="AD39" s="43"/>
      <c r="AE39" s="43"/>
      <c r="AF39" s="43"/>
      <c r="AG39" s="41"/>
      <c r="AO39" s="111"/>
    </row>
    <row r="40" spans="1:41" s="27" customFormat="1" ht="15" customHeight="1">
      <c r="A40" s="921"/>
      <c r="B40" s="905"/>
      <c r="C40" s="906"/>
      <c r="D40" s="906"/>
      <c r="E40" s="907"/>
      <c r="F40" s="889"/>
      <c r="G40" s="889"/>
      <c r="H40" s="889"/>
      <c r="I40" s="889"/>
      <c r="J40" s="868"/>
      <c r="K40" s="869"/>
      <c r="L40" s="869"/>
      <c r="M40" s="36" t="s">
        <v>18</v>
      </c>
      <c r="N40" s="863"/>
      <c r="O40" s="279" t="s">
        <v>82</v>
      </c>
      <c r="P40" s="280"/>
      <c r="Q40" s="280"/>
      <c r="R40" s="280"/>
      <c r="S40" s="281"/>
      <c r="T40" s="868"/>
      <c r="U40" s="869"/>
      <c r="V40" s="869"/>
      <c r="W40" s="292" t="s">
        <v>18</v>
      </c>
      <c r="X40" s="39"/>
      <c r="Y40" s="41"/>
      <c r="Z40" s="41"/>
      <c r="AA40" s="41"/>
      <c r="AB40" s="41"/>
      <c r="AC40" s="41"/>
      <c r="AD40" s="43"/>
      <c r="AE40" s="43"/>
      <c r="AF40" s="43"/>
      <c r="AG40" s="41"/>
      <c r="AO40" s="111"/>
    </row>
    <row r="41" spans="1:41" s="27" customFormat="1" ht="15" customHeight="1">
      <c r="A41" s="921"/>
      <c r="B41" s="905"/>
      <c r="C41" s="906"/>
      <c r="D41" s="906"/>
      <c r="E41" s="907"/>
      <c r="F41" s="889"/>
      <c r="G41" s="889"/>
      <c r="H41" s="889"/>
      <c r="I41" s="889"/>
      <c r="J41" s="868"/>
      <c r="K41" s="869"/>
      <c r="L41" s="869"/>
      <c r="M41" s="36" t="s">
        <v>18</v>
      </c>
      <c r="N41" s="863"/>
      <c r="O41" s="279" t="s">
        <v>38</v>
      </c>
      <c r="P41" s="280"/>
      <c r="Q41" s="280"/>
      <c r="R41" s="280"/>
      <c r="S41" s="281"/>
      <c r="T41" s="868"/>
      <c r="U41" s="869"/>
      <c r="V41" s="869"/>
      <c r="W41" s="292" t="s">
        <v>18</v>
      </c>
      <c r="X41" s="39"/>
      <c r="Y41" s="41"/>
      <c r="Z41" s="41"/>
      <c r="AA41" s="41"/>
      <c r="AB41" s="41"/>
      <c r="AC41" s="41"/>
      <c r="AD41" s="43"/>
      <c r="AE41" s="43"/>
      <c r="AF41" s="43"/>
      <c r="AG41" s="41"/>
      <c r="AO41" s="111"/>
    </row>
    <row r="42" spans="1:41" s="27" customFormat="1" ht="15" customHeight="1">
      <c r="A42" s="921"/>
      <c r="B42" s="590"/>
      <c r="C42" s="591"/>
      <c r="D42" s="591"/>
      <c r="E42" s="592"/>
      <c r="F42" s="889"/>
      <c r="G42" s="889"/>
      <c r="H42" s="889"/>
      <c r="I42" s="889"/>
      <c r="J42" s="868"/>
      <c r="K42" s="869"/>
      <c r="L42" s="869"/>
      <c r="M42" s="36" t="s">
        <v>18</v>
      </c>
      <c r="N42" s="863"/>
      <c r="O42" s="279" t="s">
        <v>39</v>
      </c>
      <c r="P42" s="280"/>
      <c r="Q42" s="280"/>
      <c r="R42" s="280"/>
      <c r="S42" s="281"/>
      <c r="T42" s="868"/>
      <c r="U42" s="869"/>
      <c r="V42" s="869"/>
      <c r="W42" s="292" t="s">
        <v>18</v>
      </c>
      <c r="X42" s="39"/>
      <c r="Y42" s="41"/>
      <c r="Z42" s="41"/>
      <c r="AA42" s="41"/>
      <c r="AB42" s="41"/>
      <c r="AC42" s="41"/>
      <c r="AD42" s="43"/>
      <c r="AE42" s="43"/>
      <c r="AF42" s="43"/>
      <c r="AG42" s="41"/>
      <c r="AO42" s="111"/>
    </row>
    <row r="43" spans="1:41" s="27" customFormat="1" ht="15" customHeight="1">
      <c r="A43" s="921"/>
      <c r="B43" s="587" t="s">
        <v>83</v>
      </c>
      <c r="C43" s="588"/>
      <c r="D43" s="588"/>
      <c r="E43" s="589"/>
      <c r="F43" s="889"/>
      <c r="G43" s="889"/>
      <c r="H43" s="889"/>
      <c r="I43" s="889"/>
      <c r="J43" s="869"/>
      <c r="K43" s="869"/>
      <c r="L43" s="869"/>
      <c r="M43" s="36" t="s">
        <v>18</v>
      </c>
      <c r="N43" s="863"/>
      <c r="O43" s="899" t="s">
        <v>84</v>
      </c>
      <c r="P43" s="900"/>
      <c r="Q43" s="900"/>
      <c r="R43" s="900"/>
      <c r="S43" s="901"/>
      <c r="T43" s="868"/>
      <c r="U43" s="869"/>
      <c r="V43" s="869"/>
      <c r="W43" s="292" t="s">
        <v>40</v>
      </c>
      <c r="X43" s="39"/>
      <c r="Y43" s="38"/>
      <c r="Z43" s="38"/>
      <c r="AA43" s="38"/>
      <c r="AB43" s="38"/>
      <c r="AC43" s="38"/>
      <c r="AD43" s="38"/>
      <c r="AE43" s="38"/>
      <c r="AF43" s="38"/>
      <c r="AG43" s="41"/>
      <c r="AO43" s="111"/>
    </row>
    <row r="44" spans="1:41" ht="15" customHeight="1">
      <c r="A44" s="921"/>
      <c r="B44" s="905"/>
      <c r="C44" s="906"/>
      <c r="D44" s="906"/>
      <c r="E44" s="907"/>
      <c r="F44" s="889"/>
      <c r="G44" s="889"/>
      <c r="H44" s="889"/>
      <c r="I44" s="889"/>
      <c r="J44" s="869"/>
      <c r="K44" s="869"/>
      <c r="L44" s="869"/>
      <c r="M44" s="36" t="s">
        <v>18</v>
      </c>
      <c r="N44" s="863"/>
      <c r="O44" s="899" t="s">
        <v>41</v>
      </c>
      <c r="P44" s="900"/>
      <c r="Q44" s="900"/>
      <c r="R44" s="900"/>
      <c r="S44" s="901"/>
      <c r="T44" s="869"/>
      <c r="U44" s="869"/>
      <c r="V44" s="869"/>
      <c r="W44" s="292" t="s">
        <v>18</v>
      </c>
      <c r="X44" s="39"/>
      <c r="Y44" s="38"/>
      <c r="Z44" s="38"/>
      <c r="AA44" s="38"/>
      <c r="AB44" s="38"/>
      <c r="AC44" s="38"/>
      <c r="AD44" s="38"/>
      <c r="AE44" s="38"/>
      <c r="AF44" s="38"/>
      <c r="AG44" s="41"/>
    </row>
    <row r="45" spans="1:41" ht="15" customHeight="1">
      <c r="A45" s="921"/>
      <c r="B45" s="905"/>
      <c r="C45" s="906"/>
      <c r="D45" s="906"/>
      <c r="E45" s="907"/>
      <c r="F45" s="889"/>
      <c r="G45" s="889"/>
      <c r="H45" s="889"/>
      <c r="I45" s="889"/>
      <c r="J45" s="869"/>
      <c r="K45" s="869"/>
      <c r="L45" s="869"/>
      <c r="M45" s="36" t="s">
        <v>18</v>
      </c>
      <c r="N45" s="863"/>
      <c r="O45" s="890"/>
      <c r="P45" s="891"/>
      <c r="Q45" s="891"/>
      <c r="R45" s="891"/>
      <c r="S45" s="892"/>
      <c r="T45" s="855"/>
      <c r="U45" s="856"/>
      <c r="V45" s="856"/>
      <c r="W45" s="326"/>
      <c r="X45" s="39"/>
      <c r="Y45" s="38"/>
      <c r="Z45" s="38"/>
      <c r="AA45" s="38"/>
      <c r="AB45" s="38"/>
      <c r="AC45" s="38"/>
      <c r="AD45" s="38"/>
      <c r="AE45" s="38"/>
      <c r="AF45" s="38"/>
      <c r="AG45" s="41"/>
    </row>
    <row r="46" spans="1:41" ht="15" customHeight="1">
      <c r="A46" s="921"/>
      <c r="B46" s="590"/>
      <c r="C46" s="591"/>
      <c r="D46" s="591"/>
      <c r="E46" s="592"/>
      <c r="F46" s="889"/>
      <c r="G46" s="889"/>
      <c r="H46" s="889"/>
      <c r="I46" s="889"/>
      <c r="J46" s="869"/>
      <c r="K46" s="869"/>
      <c r="L46" s="869"/>
      <c r="M46" s="36" t="s">
        <v>18</v>
      </c>
      <c r="N46" s="864"/>
      <c r="O46" s="890"/>
      <c r="P46" s="891"/>
      <c r="Q46" s="891"/>
      <c r="R46" s="891"/>
      <c r="S46" s="892"/>
      <c r="T46" s="856"/>
      <c r="U46" s="856"/>
      <c r="V46" s="856"/>
      <c r="W46" s="326"/>
      <c r="X46" s="39"/>
      <c r="Y46" s="38"/>
      <c r="Z46" s="38"/>
      <c r="AA46" s="38"/>
      <c r="AB46" s="38"/>
      <c r="AC46" s="38"/>
      <c r="AD46" s="38"/>
      <c r="AE46" s="38"/>
      <c r="AF46" s="38"/>
      <c r="AG46" s="41"/>
    </row>
    <row r="47" spans="1:41" ht="15" customHeight="1">
      <c r="A47" s="921"/>
      <c r="B47" s="587" t="s">
        <v>73</v>
      </c>
      <c r="C47" s="588"/>
      <c r="D47" s="588"/>
      <c r="E47" s="589"/>
      <c r="F47" s="911"/>
      <c r="G47" s="911"/>
      <c r="H47" s="911"/>
      <c r="I47" s="911"/>
      <c r="J47" s="868"/>
      <c r="K47" s="869"/>
      <c r="L47" s="869"/>
      <c r="M47" s="36" t="s">
        <v>18</v>
      </c>
      <c r="N47" s="887" t="s">
        <v>42</v>
      </c>
      <c r="O47" s="590" t="s">
        <v>33</v>
      </c>
      <c r="P47" s="591"/>
      <c r="Q47" s="591"/>
      <c r="R47" s="591"/>
      <c r="S47" s="592"/>
      <c r="T47" s="590" t="s">
        <v>43</v>
      </c>
      <c r="U47" s="591"/>
      <c r="V47" s="591"/>
      <c r="W47" s="902"/>
      <c r="X47" s="42"/>
      <c r="Y47" s="38"/>
      <c r="Z47" s="38"/>
      <c r="AA47" s="38"/>
      <c r="AB47" s="38"/>
      <c r="AC47" s="38"/>
      <c r="AD47" s="38"/>
      <c r="AE47" s="38"/>
      <c r="AF47" s="38"/>
      <c r="AG47" s="38"/>
    </row>
    <row r="48" spans="1:41" ht="15" customHeight="1">
      <c r="A48" s="921"/>
      <c r="B48" s="905"/>
      <c r="C48" s="906"/>
      <c r="D48" s="906"/>
      <c r="E48" s="907"/>
      <c r="F48" s="889"/>
      <c r="G48" s="889"/>
      <c r="H48" s="889"/>
      <c r="I48" s="889"/>
      <c r="J48" s="868"/>
      <c r="K48" s="869"/>
      <c r="L48" s="869"/>
      <c r="M48" s="36" t="s">
        <v>18</v>
      </c>
      <c r="N48" s="887"/>
      <c r="O48" s="890"/>
      <c r="P48" s="891"/>
      <c r="Q48" s="891"/>
      <c r="R48" s="891"/>
      <c r="S48" s="892"/>
      <c r="T48" s="855"/>
      <c r="U48" s="856"/>
      <c r="V48" s="856"/>
      <c r="W48" s="326"/>
      <c r="X48" s="42"/>
      <c r="Y48" s="8"/>
      <c r="Z48" s="8"/>
      <c r="AA48" s="8"/>
      <c r="AB48" s="8"/>
      <c r="AC48" s="8"/>
      <c r="AD48" s="8"/>
      <c r="AE48" s="8"/>
      <c r="AF48" s="8"/>
      <c r="AG48" s="21"/>
    </row>
    <row r="49" spans="1:41" ht="15" customHeight="1">
      <c r="A49" s="921"/>
      <c r="B49" s="905"/>
      <c r="C49" s="906"/>
      <c r="D49" s="906"/>
      <c r="E49" s="907"/>
      <c r="F49" s="889"/>
      <c r="G49" s="889"/>
      <c r="H49" s="889"/>
      <c r="I49" s="889"/>
      <c r="J49" s="868"/>
      <c r="K49" s="869"/>
      <c r="L49" s="869"/>
      <c r="M49" s="36" t="s">
        <v>18</v>
      </c>
      <c r="N49" s="887"/>
      <c r="O49" s="890"/>
      <c r="P49" s="891"/>
      <c r="Q49" s="891"/>
      <c r="R49" s="891"/>
      <c r="S49" s="892"/>
      <c r="T49" s="855"/>
      <c r="U49" s="856"/>
      <c r="V49" s="856"/>
      <c r="W49" s="326"/>
      <c r="X49" s="42"/>
      <c r="Y49" s="8"/>
      <c r="Z49" s="8"/>
      <c r="AA49" s="8"/>
      <c r="AB49" s="8"/>
      <c r="AC49" s="8"/>
      <c r="AD49" s="8"/>
      <c r="AE49" s="8"/>
      <c r="AF49" s="8"/>
      <c r="AG49" s="21"/>
    </row>
    <row r="50" spans="1:41" ht="15" customHeight="1">
      <c r="A50" s="921"/>
      <c r="B50" s="590"/>
      <c r="C50" s="591"/>
      <c r="D50" s="591"/>
      <c r="E50" s="592"/>
      <c r="F50" s="889"/>
      <c r="G50" s="889"/>
      <c r="H50" s="889"/>
      <c r="I50" s="889"/>
      <c r="J50" s="868"/>
      <c r="K50" s="869"/>
      <c r="L50" s="869"/>
      <c r="M50" s="36" t="s">
        <v>18</v>
      </c>
      <c r="N50" s="887"/>
      <c r="O50" s="890"/>
      <c r="P50" s="891"/>
      <c r="Q50" s="891"/>
      <c r="R50" s="891"/>
      <c r="S50" s="892"/>
      <c r="T50" s="855"/>
      <c r="U50" s="856"/>
      <c r="V50" s="856"/>
      <c r="W50" s="326"/>
      <c r="X50" s="42"/>
      <c r="Y50" s="8"/>
      <c r="Z50" s="8"/>
      <c r="AA50" s="8"/>
      <c r="AB50" s="8"/>
      <c r="AC50" s="8"/>
      <c r="AD50" s="8"/>
      <c r="AE50" s="8"/>
      <c r="AF50" s="8"/>
      <c r="AG50" s="21"/>
    </row>
    <row r="51" spans="1:41" ht="15" customHeight="1">
      <c r="A51" s="921"/>
      <c r="B51" s="935"/>
      <c r="C51" s="936"/>
      <c r="D51" s="936"/>
      <c r="E51" s="937"/>
      <c r="F51" s="889"/>
      <c r="G51" s="889"/>
      <c r="H51" s="889"/>
      <c r="I51" s="889"/>
      <c r="J51" s="868"/>
      <c r="K51" s="869"/>
      <c r="L51" s="869"/>
      <c r="M51" s="36" t="s">
        <v>18</v>
      </c>
      <c r="N51" s="887"/>
      <c r="O51" s="896"/>
      <c r="P51" s="897"/>
      <c r="Q51" s="897"/>
      <c r="R51" s="897"/>
      <c r="S51" s="898"/>
      <c r="T51" s="855"/>
      <c r="U51" s="856"/>
      <c r="V51" s="856"/>
      <c r="W51" s="326"/>
      <c r="X51" s="42"/>
      <c r="Y51" s="8"/>
      <c r="Z51" s="8"/>
      <c r="AA51" s="8"/>
      <c r="AB51" s="8"/>
      <c r="AC51" s="8"/>
      <c r="AD51" s="44"/>
      <c r="AE51" s="44"/>
      <c r="AF51" s="44"/>
      <c r="AG51" s="21"/>
    </row>
    <row r="52" spans="1:41" ht="15" customHeight="1">
      <c r="A52" s="921"/>
      <c r="B52" s="941"/>
      <c r="C52" s="942"/>
      <c r="D52" s="942"/>
      <c r="E52" s="943"/>
      <c r="F52" s="889"/>
      <c r="G52" s="889"/>
      <c r="H52" s="889"/>
      <c r="I52" s="889"/>
      <c r="J52" s="868"/>
      <c r="K52" s="869"/>
      <c r="L52" s="869"/>
      <c r="M52" s="36" t="s">
        <v>18</v>
      </c>
      <c r="N52" s="887"/>
      <c r="O52" s="890"/>
      <c r="P52" s="891"/>
      <c r="Q52" s="891"/>
      <c r="R52" s="891"/>
      <c r="S52" s="892"/>
      <c r="T52" s="855"/>
      <c r="U52" s="856"/>
      <c r="V52" s="856"/>
      <c r="W52" s="326"/>
      <c r="X52" s="42"/>
      <c r="Y52" s="8"/>
      <c r="Z52" s="8"/>
      <c r="AA52" s="8"/>
      <c r="AB52" s="8"/>
      <c r="AC52" s="8"/>
      <c r="AD52" s="44"/>
      <c r="AE52" s="44"/>
      <c r="AF52" s="44"/>
      <c r="AG52" s="21"/>
    </row>
    <row r="53" spans="1:41" ht="15" customHeight="1">
      <c r="A53" s="921"/>
      <c r="B53" s="941"/>
      <c r="C53" s="942"/>
      <c r="D53" s="942"/>
      <c r="E53" s="943"/>
      <c r="F53" s="889"/>
      <c r="G53" s="889"/>
      <c r="H53" s="889"/>
      <c r="I53" s="889"/>
      <c r="J53" s="868"/>
      <c r="K53" s="869"/>
      <c r="L53" s="869"/>
      <c r="M53" s="36" t="s">
        <v>18</v>
      </c>
      <c r="N53" s="887"/>
      <c r="O53" s="890"/>
      <c r="P53" s="891"/>
      <c r="Q53" s="891"/>
      <c r="R53" s="891"/>
      <c r="S53" s="892"/>
      <c r="T53" s="855"/>
      <c r="U53" s="856"/>
      <c r="V53" s="856"/>
      <c r="W53" s="326"/>
      <c r="X53" s="42"/>
      <c r="Y53" s="38"/>
      <c r="Z53" s="38"/>
      <c r="AA53" s="38"/>
      <c r="AB53" s="38"/>
      <c r="AC53" s="38"/>
      <c r="AD53" s="43"/>
      <c r="AE53" s="43"/>
      <c r="AF53" s="43"/>
      <c r="AG53" s="41"/>
    </row>
    <row r="54" spans="1:41" s="45" customFormat="1" ht="15" customHeight="1" thickBot="1">
      <c r="A54" s="931"/>
      <c r="B54" s="944"/>
      <c r="C54" s="945"/>
      <c r="D54" s="945"/>
      <c r="E54" s="946"/>
      <c r="F54" s="917"/>
      <c r="G54" s="918"/>
      <c r="H54" s="918"/>
      <c r="I54" s="919"/>
      <c r="J54" s="876"/>
      <c r="K54" s="877"/>
      <c r="L54" s="877"/>
      <c r="M54" s="293" t="s">
        <v>18</v>
      </c>
      <c r="N54" s="888"/>
      <c r="O54" s="893"/>
      <c r="P54" s="893"/>
      <c r="Q54" s="893"/>
      <c r="R54" s="893"/>
      <c r="S54" s="893"/>
      <c r="T54" s="894"/>
      <c r="U54" s="895"/>
      <c r="V54" s="895"/>
      <c r="W54" s="327"/>
      <c r="X54" s="42"/>
      <c r="Y54" s="38"/>
      <c r="Z54" s="38"/>
      <c r="AA54" s="38"/>
      <c r="AB54" s="38"/>
      <c r="AC54" s="38"/>
      <c r="AD54" s="38"/>
      <c r="AE54" s="38"/>
      <c r="AF54" s="38"/>
      <c r="AG54" s="41"/>
      <c r="AO54" s="112"/>
    </row>
  </sheetData>
  <sheetProtection selectLockedCells="1"/>
  <mergeCells count="279">
    <mergeCell ref="B32:E33"/>
    <mergeCell ref="B51:E54"/>
    <mergeCell ref="AK5:AL6"/>
    <mergeCell ref="N18:O18"/>
    <mergeCell ref="Q13:T13"/>
    <mergeCell ref="Q14:T14"/>
    <mergeCell ref="Q15:T15"/>
    <mergeCell ref="F20:I20"/>
    <mergeCell ref="F21:I21"/>
    <mergeCell ref="J17:L17"/>
    <mergeCell ref="J13:L13"/>
    <mergeCell ref="Q23:T23"/>
    <mergeCell ref="Q21:T21"/>
    <mergeCell ref="Q22:T22"/>
    <mergeCell ref="N12:O12"/>
    <mergeCell ref="N13:O13"/>
    <mergeCell ref="J19:L19"/>
    <mergeCell ref="J14:L14"/>
    <mergeCell ref="J9:L9"/>
    <mergeCell ref="J10:L10"/>
    <mergeCell ref="N15:O15"/>
    <mergeCell ref="N16:O16"/>
    <mergeCell ref="N17:O17"/>
    <mergeCell ref="J18:L18"/>
    <mergeCell ref="A9:A10"/>
    <mergeCell ref="B9:E10"/>
    <mergeCell ref="F9:I9"/>
    <mergeCell ref="F10:I10"/>
    <mergeCell ref="A20:A23"/>
    <mergeCell ref="B20:E23"/>
    <mergeCell ref="B16:E17"/>
    <mergeCell ref="F19:I19"/>
    <mergeCell ref="F17:H17"/>
    <mergeCell ref="F15:H15"/>
    <mergeCell ref="A11:A19"/>
    <mergeCell ref="F11:H11"/>
    <mergeCell ref="F12:H12"/>
    <mergeCell ref="F16:H16"/>
    <mergeCell ref="B18:E19"/>
    <mergeCell ref="J15:L15"/>
    <mergeCell ref="J16:L16"/>
    <mergeCell ref="N10:O10"/>
    <mergeCell ref="N11:O11"/>
    <mergeCell ref="B11:E15"/>
    <mergeCell ref="F14:H14"/>
    <mergeCell ref="N14:O14"/>
    <mergeCell ref="F13:H13"/>
    <mergeCell ref="N19:O19"/>
    <mergeCell ref="Q17:T17"/>
    <mergeCell ref="A28:A33"/>
    <mergeCell ref="A26:A27"/>
    <mergeCell ref="B26:E27"/>
    <mergeCell ref="T28:V28"/>
    <mergeCell ref="J30:L30"/>
    <mergeCell ref="F28:H28"/>
    <mergeCell ref="P33:S33"/>
    <mergeCell ref="T33:W33"/>
    <mergeCell ref="B28:E29"/>
    <mergeCell ref="P32:S32"/>
    <mergeCell ref="O33:O37"/>
    <mergeCell ref="J27:L27"/>
    <mergeCell ref="J28:L28"/>
    <mergeCell ref="N26:N46"/>
    <mergeCell ref="J45:L45"/>
    <mergeCell ref="F29:H29"/>
    <mergeCell ref="J29:L29"/>
    <mergeCell ref="F26:I26"/>
    <mergeCell ref="F27:I27"/>
    <mergeCell ref="J26:L26"/>
    <mergeCell ref="A34:A54"/>
    <mergeCell ref="J38:L38"/>
    <mergeCell ref="B34:E38"/>
    <mergeCell ref="B39:E42"/>
    <mergeCell ref="F54:I54"/>
    <mergeCell ref="J54:L54"/>
    <mergeCell ref="F52:I52"/>
    <mergeCell ref="F48:I48"/>
    <mergeCell ref="F49:I49"/>
    <mergeCell ref="J49:L49"/>
    <mergeCell ref="J48:L48"/>
    <mergeCell ref="B47:E50"/>
    <mergeCell ref="J52:L52"/>
    <mergeCell ref="F53:I53"/>
    <mergeCell ref="J53:L53"/>
    <mergeCell ref="F50:I50"/>
    <mergeCell ref="J50:L50"/>
    <mergeCell ref="F51:I51"/>
    <mergeCell ref="J51:L51"/>
    <mergeCell ref="J47:L47"/>
    <mergeCell ref="I2:AB2"/>
    <mergeCell ref="T26:W26"/>
    <mergeCell ref="T27:V27"/>
    <mergeCell ref="F18:I18"/>
    <mergeCell ref="O26:O32"/>
    <mergeCell ref="P26:S26"/>
    <mergeCell ref="P27:S27"/>
    <mergeCell ref="J12:L12"/>
    <mergeCell ref="J11:L11"/>
    <mergeCell ref="N9:O9"/>
    <mergeCell ref="P28:S28"/>
    <mergeCell ref="P29:S29"/>
    <mergeCell ref="F30:H30"/>
    <mergeCell ref="J31:L31"/>
    <mergeCell ref="F32:H32"/>
    <mergeCell ref="J32:L32"/>
    <mergeCell ref="F31:H31"/>
    <mergeCell ref="J21:L21"/>
    <mergeCell ref="N22:O22"/>
    <mergeCell ref="N23:O23"/>
    <mergeCell ref="N21:O21"/>
    <mergeCell ref="J22:L22"/>
    <mergeCell ref="F22:I22"/>
    <mergeCell ref="F23:I23"/>
    <mergeCell ref="J37:L37"/>
    <mergeCell ref="J46:L46"/>
    <mergeCell ref="F47:I47"/>
    <mergeCell ref="F46:I46"/>
    <mergeCell ref="J44:L44"/>
    <mergeCell ref="F41:I41"/>
    <mergeCell ref="J43:L43"/>
    <mergeCell ref="J39:L39"/>
    <mergeCell ref="F43:I43"/>
    <mergeCell ref="F44:I44"/>
    <mergeCell ref="F45:I45"/>
    <mergeCell ref="J42:L42"/>
    <mergeCell ref="F38:I38"/>
    <mergeCell ref="F39:I39"/>
    <mergeCell ref="F40:I40"/>
    <mergeCell ref="F34:I34"/>
    <mergeCell ref="J34:M34"/>
    <mergeCell ref="F35:I35"/>
    <mergeCell ref="J20:M20"/>
    <mergeCell ref="B43:E46"/>
    <mergeCell ref="T29:V29"/>
    <mergeCell ref="P30:S30"/>
    <mergeCell ref="T30:V30"/>
    <mergeCell ref="P31:S31"/>
    <mergeCell ref="T31:V31"/>
    <mergeCell ref="J40:L40"/>
    <mergeCell ref="J41:L41"/>
    <mergeCell ref="F42:I42"/>
    <mergeCell ref="J36:L36"/>
    <mergeCell ref="F37:I37"/>
    <mergeCell ref="F33:H33"/>
    <mergeCell ref="J33:L33"/>
    <mergeCell ref="F36:I36"/>
    <mergeCell ref="J35:L35"/>
    <mergeCell ref="B30:E31"/>
    <mergeCell ref="J23:L23"/>
    <mergeCell ref="N20:O20"/>
    <mergeCell ref="Q20:T20"/>
    <mergeCell ref="O43:S43"/>
    <mergeCell ref="T45:V45"/>
    <mergeCell ref="O46:S46"/>
    <mergeCell ref="T46:V46"/>
    <mergeCell ref="T43:V43"/>
    <mergeCell ref="T39:V39"/>
    <mergeCell ref="T40:V40"/>
    <mergeCell ref="T41:V41"/>
    <mergeCell ref="T42:V42"/>
    <mergeCell ref="T32:V32"/>
    <mergeCell ref="T35:V35"/>
    <mergeCell ref="P36:S36"/>
    <mergeCell ref="T36:V36"/>
    <mergeCell ref="T37:V37"/>
    <mergeCell ref="O38:S38"/>
    <mergeCell ref="T38:W38"/>
    <mergeCell ref="P37:S37"/>
    <mergeCell ref="P34:S34"/>
    <mergeCell ref="T34:V34"/>
    <mergeCell ref="N47:N54"/>
    <mergeCell ref="O47:S47"/>
    <mergeCell ref="P35:S35"/>
    <mergeCell ref="A25:W25"/>
    <mergeCell ref="U16:X16"/>
    <mergeCell ref="Q16:T16"/>
    <mergeCell ref="U21:X21"/>
    <mergeCell ref="U22:X22"/>
    <mergeCell ref="U23:X23"/>
    <mergeCell ref="O52:S52"/>
    <mergeCell ref="O53:S53"/>
    <mergeCell ref="O54:S54"/>
    <mergeCell ref="T54:V54"/>
    <mergeCell ref="O49:S49"/>
    <mergeCell ref="T49:V49"/>
    <mergeCell ref="O51:S51"/>
    <mergeCell ref="O50:S50"/>
    <mergeCell ref="T50:V50"/>
    <mergeCell ref="O44:S44"/>
    <mergeCell ref="T47:W47"/>
    <mergeCell ref="O48:S48"/>
    <mergeCell ref="T48:V48"/>
    <mergeCell ref="T44:V44"/>
    <mergeCell ref="O45:S45"/>
    <mergeCell ref="AL22:AM22"/>
    <mergeCell ref="AL23:AM23"/>
    <mergeCell ref="Q9:T9"/>
    <mergeCell ref="Q19:T19"/>
    <mergeCell ref="U19:X19"/>
    <mergeCell ref="Q10:T10"/>
    <mergeCell ref="Q11:T11"/>
    <mergeCell ref="Q12:T12"/>
    <mergeCell ref="AL13:AM13"/>
    <mergeCell ref="AL14:AM14"/>
    <mergeCell ref="AL15:AM15"/>
    <mergeCell ref="AL16:AM16"/>
    <mergeCell ref="AL17:AM17"/>
    <mergeCell ref="AL18:AM18"/>
    <mergeCell ref="AL19:AM19"/>
    <mergeCell ref="AL20:AM20"/>
    <mergeCell ref="Z9:AA9"/>
    <mergeCell ref="Z10:AA10"/>
    <mergeCell ref="Z11:AA11"/>
    <mergeCell ref="Z12:AA12"/>
    <mergeCell ref="AL9:AM9"/>
    <mergeCell ref="AL10:AM10"/>
    <mergeCell ref="AL11:AM11"/>
    <mergeCell ref="AL12:AM12"/>
    <mergeCell ref="AH15:AJ15"/>
    <mergeCell ref="AH16:AJ16"/>
    <mergeCell ref="AH17:AJ17"/>
    <mergeCell ref="AH11:AJ11"/>
    <mergeCell ref="AH12:AJ12"/>
    <mergeCell ref="AH13:AJ13"/>
    <mergeCell ref="AH14:AJ14"/>
    <mergeCell ref="AC13:AG13"/>
    <mergeCell ref="AL21:AM21"/>
    <mergeCell ref="AC14:AG14"/>
    <mergeCell ref="AC17:AG17"/>
    <mergeCell ref="AC18:AG18"/>
    <mergeCell ref="AC19:AG19"/>
    <mergeCell ref="AH9:AK9"/>
    <mergeCell ref="AC10:AG10"/>
    <mergeCell ref="AC11:AG11"/>
    <mergeCell ref="U10:X10"/>
    <mergeCell ref="U11:X11"/>
    <mergeCell ref="U12:X12"/>
    <mergeCell ref="AC12:AG12"/>
    <mergeCell ref="U9:Y9"/>
    <mergeCell ref="AC9:AG9"/>
    <mergeCell ref="U15:X15"/>
    <mergeCell ref="Z13:AA13"/>
    <mergeCell ref="Z14:AA14"/>
    <mergeCell ref="Z22:AA22"/>
    <mergeCell ref="Z23:AA23"/>
    <mergeCell ref="Z17:AA17"/>
    <mergeCell ref="Z18:AA18"/>
    <mergeCell ref="U17:X17"/>
    <mergeCell ref="U18:X18"/>
    <mergeCell ref="U20:Y20"/>
    <mergeCell ref="Z16:AA16"/>
    <mergeCell ref="Z19:AA19"/>
    <mergeCell ref="Z20:AA20"/>
    <mergeCell ref="Z21:AA21"/>
    <mergeCell ref="Z15:AA15"/>
    <mergeCell ref="T51:V51"/>
    <mergeCell ref="T52:V52"/>
    <mergeCell ref="T53:V53"/>
    <mergeCell ref="A8:AM8"/>
    <mergeCell ref="P20:P23"/>
    <mergeCell ref="P9:P19"/>
    <mergeCell ref="Q18:T18"/>
    <mergeCell ref="AB20:AB23"/>
    <mergeCell ref="AH20:AK20"/>
    <mergeCell ref="AB9:AB19"/>
    <mergeCell ref="AH18:AJ18"/>
    <mergeCell ref="AC21:AG21"/>
    <mergeCell ref="AH10:AJ10"/>
    <mergeCell ref="AC22:AG22"/>
    <mergeCell ref="AC23:AG23"/>
    <mergeCell ref="AH19:AJ19"/>
    <mergeCell ref="AC20:AG20"/>
    <mergeCell ref="AH21:AJ21"/>
    <mergeCell ref="AH22:AJ22"/>
    <mergeCell ref="AH23:AJ23"/>
    <mergeCell ref="AC15:AG15"/>
    <mergeCell ref="AC16:AG16"/>
    <mergeCell ref="U13:X13"/>
    <mergeCell ref="U14:X14"/>
  </mergeCells>
  <phoneticPr fontId="2"/>
  <conditionalFormatting sqref="J9:L19 F21:L23 Q10:X19 P31:W32 AD27:AF30 Z31:AG32 AD39:AF46 AC21:AJ23 Z34:AG37 AE51:AF54 AG48:AG54 Y48:Y54 AD48:AD54 Z48:AC50 Z52:AC54 Q21:X23 F11:H17 AC10:AJ19 F28:H33 J26:L33 T27:V30 P34:V37 F35:L54 T39:V46 O48:V54">
    <cfRule type="cellIs" dxfId="8" priority="9" stopIfTrue="1" operator="notEqual">
      <formula>""</formula>
    </cfRule>
  </conditionalFormatting>
  <conditionalFormatting sqref="AK5">
    <cfRule type="expression" dxfId="7" priority="8" stopIfTrue="1">
      <formula>$S$51&lt;&gt;""</formula>
    </cfRule>
  </conditionalFormatting>
  <conditionalFormatting sqref="W45:W46">
    <cfRule type="cellIs" dxfId="6" priority="7" stopIfTrue="1" operator="notEqual">
      <formula>""</formula>
    </cfRule>
  </conditionalFormatting>
  <conditionalFormatting sqref="W48:W53">
    <cfRule type="cellIs" dxfId="5" priority="6" stopIfTrue="1" operator="notEqual">
      <formula>""</formula>
    </cfRule>
  </conditionalFormatting>
  <conditionalFormatting sqref="W54">
    <cfRule type="cellIs" dxfId="4" priority="5" stopIfTrue="1" operator="notEqual">
      <formula>""</formula>
    </cfRule>
  </conditionalFormatting>
  <conditionalFormatting sqref="B32:E33">
    <cfRule type="cellIs" dxfId="3" priority="4" operator="notEqual">
      <formula>""</formula>
    </cfRule>
  </conditionalFormatting>
  <conditionalFormatting sqref="B51:E54">
    <cfRule type="cellIs" dxfId="2" priority="3" operator="notEqual">
      <formula>""</formula>
    </cfRule>
  </conditionalFormatting>
  <conditionalFormatting sqref="O45:S45">
    <cfRule type="cellIs" dxfId="1" priority="2" operator="notEqual">
      <formula>""</formula>
    </cfRule>
  </conditionalFormatting>
  <conditionalFormatting sqref="O46:S46">
    <cfRule type="cellIs" dxfId="0" priority="1" operator="notEqual">
      <formula>""</formula>
    </cfRule>
  </conditionalFormatting>
  <dataValidations count="6">
    <dataValidation imeMode="off" allowBlank="1" showInputMessage="1" showErrorMessage="1" sqref="J26:L33 J35:L54 J9:L19 J21:L23 U10:X19 U21:X23 AH10:AJ19 AH21:AJ23 T27:V30 T34:V37 T39:V44 T31:V32" xr:uid="{00000000-0002-0000-0600-000000000000}"/>
    <dataValidation imeMode="on" allowBlank="1" showInputMessage="1" showErrorMessage="1" sqref="Q21:T23 P52:S54 F28:H33 Z31:AC32 F35:I54 AG48:AG50 Z34:AC37 Y48:Y54 Z48:AC50 Z52:AC54 F21:I23 F11:H17 P31:S32 AC21:AG23 P34:S37 O48:O54 P48:S50 Q10:T19" xr:uid="{00000000-0002-0000-0600-000001000000}"/>
    <dataValidation type="whole" imeMode="off" allowBlank="1" showInputMessage="1" showErrorMessage="1" sqref="U45:V46 T48:T53 AD39:AF46 AD48:AD50 T45:T46" xr:uid="{00000000-0002-0000-0600-000004000000}">
      <formula1>0</formula1>
      <formula2>9999999999999990</formula2>
    </dataValidation>
    <dataValidation imeMode="on" allowBlank="1" showInputMessage="1" showErrorMessage="1" prompt="数量の単位を入力してください。" sqref="AG34:AG37 AG31:AG32 AG51:AG54 W31:W32 W45:W46 W48:W54" xr:uid="{00000000-0002-0000-0600-000007000000}"/>
    <dataValidation type="whole" imeMode="off" allowBlank="1" showInputMessage="1" showErrorMessage="1" sqref="AD51:AF54 T54:V54" xr:uid="{00000000-0002-0000-0600-000008000000}">
      <formula1>0</formula1>
      <formula2>99999999999999900</formula2>
    </dataValidation>
    <dataValidation type="list" allowBlank="1" showInputMessage="1" showErrorMessage="1" sqref="AK5:AL7" xr:uid="{00000000-0002-0000-0600-000009000000}">
      <formula1>"　,◯"</formula1>
    </dataValidation>
  </dataValidations>
  <pageMargins left="0.78740157480314965" right="0.39370078740157483" top="0.78740157480314965" bottom="0.59055118110236227" header="0.51181102362204722" footer="0.51181102362204722"/>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20</vt:i4>
      </vt:variant>
    </vt:vector>
  </HeadingPairs>
  <TitlesOfParts>
    <vt:vector size="29" baseType="lpstr">
      <vt:lpstr>第１号様式</vt:lpstr>
      <vt:lpstr>別紙１</vt:lpstr>
      <vt:lpstr>別紙２</vt:lpstr>
      <vt:lpstr>別紙３</vt:lpstr>
      <vt:lpstr>別紙4-1（物品）</vt:lpstr>
      <vt:lpstr>別紙4-2（役務）</vt:lpstr>
      <vt:lpstr>別紙4-3（賃貸借）</vt:lpstr>
      <vt:lpstr>別紙５</vt:lpstr>
      <vt:lpstr>別紙６</vt:lpstr>
      <vt:lpstr>第１号様式!Print_Area</vt:lpstr>
      <vt:lpstr>別紙１!Print_Area</vt:lpstr>
      <vt:lpstr>別紙２!Print_Area</vt:lpstr>
      <vt:lpstr>別紙３!Print_Area</vt:lpstr>
      <vt:lpstr>'別紙4-1（物品）'!Print_Area</vt:lpstr>
      <vt:lpstr>'別紙4-2（役務）'!Print_Area</vt:lpstr>
      <vt:lpstr>'別紙4-3（賃貸借）'!Print_Area</vt:lpstr>
      <vt:lpstr>別紙５!Print_Area</vt:lpstr>
      <vt:lpstr>別紙６!Print_Area</vt:lpstr>
      <vt:lpstr>'別紙4-1（物品）'!Print_Titles</vt:lpstr>
      <vt:lpstr>'別紙4-2（役務）'!Print_Titles</vt:lpstr>
      <vt:lpstr>'別紙4-3（賃貸借）'!Print_Titles</vt:lpstr>
      <vt:lpstr>代理人</vt:lpstr>
      <vt:lpstr>代理人の有無</vt:lpstr>
      <vt:lpstr>代理人を置かない</vt:lpstr>
      <vt:lpstr>代理人を置く</vt:lpstr>
      <vt:lpstr>置かない</vt:lpstr>
      <vt:lpstr>置く</vt:lpstr>
      <vt:lpstr>第１号様式!中分類コード</vt:lpstr>
      <vt:lpstr>第１号様式!中分類コード表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由美</dc:creator>
  <cp:lastModifiedBy> </cp:lastModifiedBy>
  <cp:lastPrinted>2024-01-03T23:38:54Z</cp:lastPrinted>
  <dcterms:created xsi:type="dcterms:W3CDTF">2022-04-06T01:34:19Z</dcterms:created>
  <dcterms:modified xsi:type="dcterms:W3CDTF">2024-01-12T07:10:21Z</dcterms:modified>
</cp:coreProperties>
</file>